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b291e83f1dd048ec" Type="http://schemas.microsoft.com/office/2006/relationships/ui/extensibility" Target="NUL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7bfe6ae1bc214e25" Type="http://schemas.microsoft.com/office/2007/relationships/ui/extensibility" Target="NUL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mir\Desktop\"/>
    </mc:Choice>
  </mc:AlternateContent>
  <bookViews>
    <workbookView showSheetTabs="0" xWindow="0" yWindow="0" windowWidth="15360" windowHeight="10200" tabRatio="660"/>
  </bookViews>
  <sheets>
    <sheet name="Splash" sheetId="28" r:id="rId1"/>
    <sheet name="Group A" sheetId="39" r:id="rId2"/>
    <sheet name="Group B" sheetId="31" r:id="rId3"/>
    <sheet name="Group C" sheetId="32" r:id="rId4"/>
    <sheet name="Group D" sheetId="33" r:id="rId5"/>
    <sheet name="Group E" sheetId="34" r:id="rId6"/>
    <sheet name="Group F" sheetId="35" r:id="rId7"/>
    <sheet name="Group G" sheetId="36" r:id="rId8"/>
    <sheet name="Group H" sheetId="37" r:id="rId9"/>
    <sheet name="Knock-Out" sheetId="10" r:id="rId10"/>
    <sheet name="Flags" sheetId="2" state="veryHidden" r:id="rId11"/>
    <sheet name="Games" sheetId="8" state="veryHidden" r:id="rId12"/>
    <sheet name="Labels" sheetId="19" state="veryHidden" r:id="rId13"/>
  </sheets>
  <definedNames>
    <definedName name="→" localSheetId="9">'Knock-Out'!B1</definedName>
    <definedName name="¶">Labels!$I$10</definedName>
    <definedName name="activeGoupA">Labels!$K$1:$K$7</definedName>
    <definedName name="activeGroupB">Labels!$L$1:$L$7</definedName>
    <definedName name="activeGroups">Labels!$K$1:$R$7</definedName>
    <definedName name="cell.location" localSheetId="1">'Group A'!$AF$30:$AF$41</definedName>
    <definedName name="cell.location" localSheetId="2">'Group B'!$AF$30:$AF$41</definedName>
    <definedName name="cell.location" localSheetId="3">'Group C'!$AF$30:$AF$41</definedName>
    <definedName name="cell.location" localSheetId="4">'Group D'!$AF$30:$AF$41</definedName>
    <definedName name="cell.location" localSheetId="5">'Group E'!$AF$30:$AF$41</definedName>
    <definedName name="cell.location" localSheetId="6">'Group F'!$AF$30:$AF$41</definedName>
    <definedName name="cell.location" localSheetId="7">'Group G'!$AF$30:$AF$41</definedName>
    <definedName name="cell.location" localSheetId="8">'Group H'!$AF$30:$AF$41</definedName>
    <definedName name="complete?" localSheetId="1">'Group A'!$AI$45</definedName>
    <definedName name="complete?" localSheetId="2">'Group B'!$AI$45</definedName>
    <definedName name="complete?" localSheetId="3">'Group C'!$AI$45</definedName>
    <definedName name="complete?" localSheetId="4">'Group D'!$AI$45</definedName>
    <definedName name="complete?" localSheetId="5">'Group E'!$AI$45</definedName>
    <definedName name="complete?" localSheetId="6">'Group F'!$AI$45</definedName>
    <definedName name="complete?" localSheetId="7">'Group G'!$AI$45</definedName>
    <definedName name="complete?" localSheetId="8">'Group H'!$AI$45</definedName>
    <definedName name="Countries">Flags!$B$2:$C$33</definedName>
    <definedName name="country" localSheetId="1">'Group A'!$O1</definedName>
    <definedName name="country" localSheetId="2">'Group B'!$O1</definedName>
    <definedName name="country" localSheetId="3">'Group C'!$O1</definedName>
    <definedName name="country" localSheetId="4">'Group D'!$O1</definedName>
    <definedName name="country" localSheetId="5">'Group E'!$O1</definedName>
    <definedName name="country" localSheetId="6">'Group F'!$O1</definedName>
    <definedName name="country" localSheetId="7">'Group G'!$O1</definedName>
    <definedName name="country" localSheetId="8">'Group H'!$O1</definedName>
    <definedName name="country" localSheetId="9">'Knock-Out'!XFD1</definedName>
    <definedName name="country.list">Flags!$H$2:$H$34</definedName>
    <definedName name="country.name">Flags!$B$2:$B$34</definedName>
    <definedName name="CountryName.Loc">Flags!$E$2:$E$34</definedName>
    <definedName name="data.array" localSheetId="1">'Group A'!$AD$46:$AG$49</definedName>
    <definedName name="data.array" localSheetId="2">'Group B'!$AD$46:$AG$49</definedName>
    <definedName name="data.array" localSheetId="3">'Group C'!$AD$46:$AG$49</definedName>
    <definedName name="data.array" localSheetId="4">'Group D'!$AD$46:$AG$49</definedName>
    <definedName name="data.array" localSheetId="5">'Group E'!$AD$46:$AG$49</definedName>
    <definedName name="data.array" localSheetId="6">'Group F'!$AD$46:$AG$49</definedName>
    <definedName name="data.array" localSheetId="7">'Group G'!$AD$46:$AG$49</definedName>
    <definedName name="data.array" localSheetId="8">'Group H'!$AD$46:$AG$49</definedName>
    <definedName name="date.format">Labels!$F$10</definedName>
    <definedName name="diagonal?">({1,2,3,4}={1;2;3;4})</definedName>
    <definedName name="draws" localSheetId="1" xml:space="preserve"> INDEX( 'Group A'!standings, 0, 3 )</definedName>
    <definedName name="draws" localSheetId="2" xml:space="preserve"> INDEX( 'Group B'!standings, 0, 3 )</definedName>
    <definedName name="draws" localSheetId="3" xml:space="preserve"> INDEX( 'Group C'!standings, 0, 3 )</definedName>
    <definedName name="draws" localSheetId="4" xml:space="preserve"> INDEX( 'Group D'!standings, 0, 3 )</definedName>
    <definedName name="draws" localSheetId="5" xml:space="preserve"> INDEX( 'Group E'!standings, 0, 3 )</definedName>
    <definedName name="draws" localSheetId="6" xml:space="preserve"> INDEX( 'Group F'!standings, 0, 3 )</definedName>
    <definedName name="draws" localSheetId="7" xml:space="preserve"> INDEX( 'Group G'!standings, 0, 3 )</definedName>
    <definedName name="draws" localSheetId="8" xml:space="preserve"> INDEX( 'Group H'!standings, 0, 3 )</definedName>
    <definedName name="eachTeam">{1;1;1;1}</definedName>
    <definedName name="flag1" xml:space="preserve"> INDEX(flags, 2)</definedName>
    <definedName name="flag2" xml:space="preserve"> INDEX(flags, 3)</definedName>
    <definedName name="flags">Flags!$I$2:$I$34</definedName>
    <definedName name="FlagSelect.1st" localSheetId="1" xml:space="preserve"> INDEX( flags, INDEX('Group A'!index.order, 1 ) )</definedName>
    <definedName name="FlagSelect.1st" localSheetId="2" xml:space="preserve"> INDEX( flags, INDEX('Group B'!index.order, 1 ) )</definedName>
    <definedName name="FlagSelect.1st" localSheetId="3" xml:space="preserve"> INDEX( flags, INDEX('Group C'!index.order, 1 ) )</definedName>
    <definedName name="FlagSelect.1st" localSheetId="4" xml:space="preserve"> INDEX( flags, INDEX('Group D'!index.order, 1 ) )</definedName>
    <definedName name="FlagSelect.1st" localSheetId="5" xml:space="preserve"> INDEX( flags, INDEX('Group E'!index.order, 1 ) )</definedName>
    <definedName name="FlagSelect.1st" localSheetId="6" xml:space="preserve"> INDEX( flags, INDEX('Group F'!index.order, 1 ) )</definedName>
    <definedName name="FlagSelect.1st" localSheetId="7" xml:space="preserve"> INDEX( flags, INDEX('Group G'!index.order, 1 ) )</definedName>
    <definedName name="FlagSelect.1st" localSheetId="8" xml:space="preserve"> INDEX( flags, INDEX('Group H'!index.order, 1 ) )</definedName>
    <definedName name="FlagSelect.1st" xml:space="preserve"> INDEX( flags, MATCH( INDEX([0]!team.order, 1), country.name ) )</definedName>
    <definedName name="FlagSelect.2nd" localSheetId="1" xml:space="preserve"> INDEX( flags, INDEX('Group A'!index.order, 2 ) )</definedName>
    <definedName name="FlagSelect.2nd" localSheetId="2" xml:space="preserve"> INDEX( flags, INDEX('Group B'!index.order, 2 ) )</definedName>
    <definedName name="FlagSelect.2nd" localSheetId="3" xml:space="preserve"> INDEX( flags, INDEX('Group C'!index.order, 2 ) )</definedName>
    <definedName name="FlagSelect.2nd" localSheetId="4" xml:space="preserve"> INDEX( flags, INDEX('Group D'!index.order, 2 ) )</definedName>
    <definedName name="FlagSelect.2nd" localSheetId="5" xml:space="preserve"> INDEX( flags, INDEX('Group E'!index.order, 2 ) )</definedName>
    <definedName name="FlagSelect.2nd" localSheetId="6" xml:space="preserve"> INDEX( flags, INDEX('Group F'!index.order, 2 ) )</definedName>
    <definedName name="FlagSelect.2nd" localSheetId="7" xml:space="preserve"> INDEX( flags, INDEX('Group G'!index.order, 2 ) )</definedName>
    <definedName name="FlagSelect.2nd" localSheetId="8" xml:space="preserve"> INDEX( flags, INDEX('Group H'!index.order, 2 ) )</definedName>
    <definedName name="FlagSelect.2nd" xml:space="preserve"> INDEX( flags, MATCH( INDEX([0]!team.order, 2), country.name ) )</definedName>
    <definedName name="FlagSelect.3rd" localSheetId="1" xml:space="preserve"> INDEX( flags, INDEX('Group A'!index.order,3 ) )</definedName>
    <definedName name="FlagSelect.3rd" localSheetId="2" xml:space="preserve"> INDEX( flags, INDEX('Group B'!index.order,3 ) )</definedName>
    <definedName name="FlagSelect.3rd" localSheetId="3" xml:space="preserve"> INDEX( flags, INDEX('Group C'!index.order,3 ) )</definedName>
    <definedName name="FlagSelect.3rd" localSheetId="4" xml:space="preserve"> INDEX( flags, INDEX('Group D'!index.order,3 ) )</definedName>
    <definedName name="FlagSelect.3rd" localSheetId="5" xml:space="preserve"> INDEX( flags, INDEX('Group E'!index.order,3 ) )</definedName>
    <definedName name="FlagSelect.3rd" localSheetId="6" xml:space="preserve"> INDEX( flags, INDEX('Group F'!index.order,3 ) )</definedName>
    <definedName name="FlagSelect.3rd" localSheetId="7" xml:space="preserve"> INDEX( flags, INDEX('Group G'!index.order,3 ) )</definedName>
    <definedName name="FlagSelect.3rd" localSheetId="8" xml:space="preserve"> INDEX( flags, INDEX('Group H'!index.order,3 ) )</definedName>
    <definedName name="FlagSelect.3rd" localSheetId="9" xml:space="preserve"> INDEX( flags, 'Knock-Out'!$T$37)</definedName>
    <definedName name="FlagSelect.4th" localSheetId="1" xml:space="preserve"> INDEX( flags, INDEX('Group A'!index.order, 4 ) )</definedName>
    <definedName name="FlagSelect.4th" localSheetId="2" xml:space="preserve"> INDEX( flags, INDEX('Group B'!index.order, 4 ) )</definedName>
    <definedName name="FlagSelect.4th" localSheetId="3" xml:space="preserve"> INDEX( flags, INDEX('Group C'!index.order, 4 ) )</definedName>
    <definedName name="FlagSelect.4th" localSheetId="4" xml:space="preserve"> INDEX( flags, INDEX('Group D'!index.order, 4 ) )</definedName>
    <definedName name="FlagSelect.4th" localSheetId="5" xml:space="preserve"> INDEX( flags, INDEX('Group E'!index.order, 4 ) )</definedName>
    <definedName name="FlagSelect.4th" localSheetId="6" xml:space="preserve"> INDEX( flags, INDEX('Group F'!index.order, 4 ) )</definedName>
    <definedName name="FlagSelect.4th" localSheetId="7" xml:space="preserve"> INDEX( flags, INDEX('Group G'!index.order, 4 ) )</definedName>
    <definedName name="FlagSelect.4th" localSheetId="8" xml:space="preserve"> INDEX( flags, INDEX('Group H'!index.order, 4 ) )</definedName>
    <definedName name="FlagSelect.4th" localSheetId="9" xml:space="preserve"> INDEX( flags, 'Knock-Out'!$T$45)</definedName>
    <definedName name="FlagSelect.F1" localSheetId="9" xml:space="preserve"> INDEX( flags, 'Knock-Out'!$P$13 )</definedName>
    <definedName name="FlagSelect.F2" localSheetId="9" xml:space="preserve"> INDEX( flags, 'Knock-Out'!$P$21)</definedName>
    <definedName name="FlagSelect.F3" localSheetId="9" xml:space="preserve"> INDEX( flags, 'Knock-Out'!$P$45)</definedName>
    <definedName name="FlagSelect.F4" localSheetId="9" xml:space="preserve"> INDEX( flags, 'Knock-Out'!$P$53)</definedName>
    <definedName name="FlagSelect.QF1" localSheetId="9" xml:space="preserve"> INDEX( flags, 'Knock-Out'!$G$5)</definedName>
    <definedName name="Flagselect.QF2" localSheetId="9" xml:space="preserve"> INDEX( flags, 'Knock-Out'!$G$13)</definedName>
    <definedName name="FlagSelect.QF3" localSheetId="9" xml:space="preserve"> INDEX( flags, 'Knock-Out'!$G$21)</definedName>
    <definedName name="FlagSelect.QF4" localSheetId="9" xml:space="preserve"> INDEX( flags, 'Knock-Out'!$G$29)</definedName>
    <definedName name="FlagSelect.QF5" localSheetId="9" xml:space="preserve"> INDEX( flags, 'Knock-Out'!$G$37)</definedName>
    <definedName name="FlagSelect.QF6" localSheetId="12" xml:space="preserve"> INDEX( flags, 'Knock-Out'!$G$46)</definedName>
    <definedName name="FlagSelect.QF6" xml:space="preserve"> INDEX( flags, 'Knock-Out'!$G$45)</definedName>
    <definedName name="FlagSelect.QF7" localSheetId="9" xml:space="preserve"> INDEX( flags, 'Knock-Out'!$G$53)</definedName>
    <definedName name="FlagSelect.QF8" localSheetId="9" xml:space="preserve"> INDEX( flags, 'Knock-Out'!$G$61)</definedName>
    <definedName name="FlagSelect.RU" localSheetId="1" xml:space="preserve"> IF( 'Group A'!complete?, 'Group A'!FlagSelect.2nd, Null )</definedName>
    <definedName name="FlagSelect.RU" localSheetId="2" xml:space="preserve"> IF( 'Group B'!complete?, 'Group B'!FlagSelect.2nd, Null )</definedName>
    <definedName name="FlagSelect.RU" localSheetId="3" xml:space="preserve"> IF( 'Group C'!complete?, 'Group C'!FlagSelect.2nd, Null )</definedName>
    <definedName name="FlagSelect.RU" localSheetId="4" xml:space="preserve"> IF( 'Group D'!complete?, 'Group D'!FlagSelect.2nd, Null )</definedName>
    <definedName name="FlagSelect.RU" localSheetId="5" xml:space="preserve"> IF( 'Group E'!complete?, 'Group E'!FlagSelect.2nd, Null )</definedName>
    <definedName name="FlagSelect.RU" localSheetId="6" xml:space="preserve"> IF( 'Group F'!complete?, 'Group F'!FlagSelect.2nd, Null )</definedName>
    <definedName name="FlagSelect.RU" localSheetId="7" xml:space="preserve"> IF( 'Group G'!complete?, 'Group G'!FlagSelect.2nd, Null )</definedName>
    <definedName name="FlagSelect.RU" localSheetId="8" xml:space="preserve"> IF( 'Group H'!complete?, 'Group H'!FlagSelect.2nd, Null )</definedName>
    <definedName name="FlagSelect.RU" localSheetId="9" xml:space="preserve"> INDEX( flags, 'Knock-Out'!$T$29)</definedName>
    <definedName name="FlagSelect.SF1" localSheetId="9" xml:space="preserve"> INDEX( flags, 'Knock-Out'!$K$9)</definedName>
    <definedName name="FlagSelect.SF2" localSheetId="9" xml:space="preserve"> INDEX( flags, 'Knock-Out'!$K$25)</definedName>
    <definedName name="FlagSelect.SF3" localSheetId="9" xml:space="preserve"> INDEX( flags, 'Knock-Out'!$K$41)</definedName>
    <definedName name="FlagSelect.SF4" localSheetId="9" xml:space="preserve"> INDEX( flags, 'Knock-Out'!$K$57)</definedName>
    <definedName name="FlagSelect.Win" localSheetId="1">IF( 'Group A'!complete?, 'Group A'!FlagSelect.1st, Null )</definedName>
    <definedName name="FlagSelect.Win" localSheetId="2">IF( 'Group B'!complete?, 'Group B'!FlagSelect.1st, Null )</definedName>
    <definedName name="FlagSelect.Win" localSheetId="3">IF( 'Group C'!complete?, 'Group C'!FlagSelect.1st, Null )</definedName>
    <definedName name="FlagSelect.Win" localSheetId="4">IF( 'Group D'!complete?, 'Group D'!FlagSelect.1st, Null )</definedName>
    <definedName name="FlagSelect.Win" localSheetId="5">IF( 'Group E'!complete?, 'Group E'!FlagSelect.1st, Null )</definedName>
    <definedName name="FlagSelect.Win" localSheetId="6">IF( 'Group F'!complete?, 'Group F'!FlagSelect.1st, Null )</definedName>
    <definedName name="FlagSelect.Win" localSheetId="7">IF( 'Group G'!complete?, 'Group G'!FlagSelect.1st, Null )</definedName>
    <definedName name="FlagSelect.Win" localSheetId="8">IF( 'Group H'!complete?, 'Group H'!FlagSelect.1st, Null )</definedName>
    <definedName name="FlagSelect.Winner" localSheetId="9" xml:space="preserve"> INDEX( flags, 'Knock-Out'!$T$21)</definedName>
    <definedName name="goal.diff" localSheetId="1" xml:space="preserve"> INDEX( 'Group A'!standings, 0, 7 )</definedName>
    <definedName name="goal.diff" localSheetId="2" xml:space="preserve"> INDEX( 'Group B'!standings, 0, 7 )</definedName>
    <definedName name="goal.diff" localSheetId="3" xml:space="preserve"> INDEX( 'Group C'!standings, 0, 7 )</definedName>
    <definedName name="goal.diff" localSheetId="4" xml:space="preserve"> INDEX( 'Group D'!standings, 0, 7 )</definedName>
    <definedName name="goal.diff" localSheetId="5" xml:space="preserve"> INDEX( 'Group E'!standings, 0, 7 )</definedName>
    <definedName name="goal.diff" localSheetId="6" xml:space="preserve"> INDEX( 'Group F'!standings, 0, 7 )</definedName>
    <definedName name="goal.diff" localSheetId="7" xml:space="preserve"> INDEX( 'Group G'!standings, 0, 7 )</definedName>
    <definedName name="goal.diff" localSheetId="8" xml:space="preserve"> INDEX( 'Group H'!standings, 0, 7 )</definedName>
    <definedName name="goals.against" localSheetId="1" xml:space="preserve"> INDEX( 'Group A'!standings, 0, 6 )</definedName>
    <definedName name="goals.against" localSheetId="2" xml:space="preserve"> INDEX( 'Group B'!standings, 0, 6 )</definedName>
    <definedName name="goals.against" localSheetId="3" xml:space="preserve"> INDEX( 'Group C'!standings, 0, 6 )</definedName>
    <definedName name="goals.against" localSheetId="4" xml:space="preserve"> INDEX( 'Group D'!standings, 0, 6 )</definedName>
    <definedName name="goals.against" localSheetId="5" xml:space="preserve"> INDEX( 'Group E'!standings, 0, 6 )</definedName>
    <definedName name="goals.against" localSheetId="6" xml:space="preserve"> INDEX( 'Group F'!standings, 0, 6 )</definedName>
    <definedName name="goals.against" localSheetId="7" xml:space="preserve"> INDEX( 'Group G'!standings, 0, 6 )</definedName>
    <definedName name="goals.against" localSheetId="8" xml:space="preserve"> INDEX( 'Group H'!standings, 0, 6 )</definedName>
    <definedName name="goals.for" localSheetId="1" xml:space="preserve"> INDEX( 'Group A'!standings, 0, 5 )</definedName>
    <definedName name="goals.for" localSheetId="2" xml:space="preserve"> INDEX( 'Group B'!standings, 0, 5 )</definedName>
    <definedName name="goals.for" localSheetId="3" xml:space="preserve"> INDEX( 'Group C'!standings, 0, 5 )</definedName>
    <definedName name="goals.for" localSheetId="4" xml:space="preserve"> INDEX( 'Group D'!standings, 0, 5 )</definedName>
    <definedName name="goals.for" localSheetId="5" xml:space="preserve"> INDEX( 'Group E'!standings, 0, 5 )</definedName>
    <definedName name="goals.for" localSheetId="6" xml:space="preserve"> INDEX( 'Group F'!standings, 0, 5 )</definedName>
    <definedName name="goals.for" localSheetId="7" xml:space="preserve"> INDEX( 'Group G'!standings, 0, 5 )</definedName>
    <definedName name="goals.for" localSheetId="8" xml:space="preserve"> INDEX( 'Group H'!standings, 0, 5 )</definedName>
    <definedName name="Group.Index" localSheetId="1">'Group A'!$AM$30</definedName>
    <definedName name="Group.Index" localSheetId="2">'Group B'!$AM$30</definedName>
    <definedName name="Group.Index" localSheetId="3">'Group C'!$AM$30</definedName>
    <definedName name="Group.Index" localSheetId="4">'Group D'!$AM$30</definedName>
    <definedName name="Group.Index" localSheetId="5">'Group E'!$AM$30</definedName>
    <definedName name="Group.Index" localSheetId="6">'Group F'!$AM$30</definedName>
    <definedName name="Group.Index" localSheetId="7">'Group G'!$AM$30</definedName>
    <definedName name="Group.Index" localSheetId="8">'Group H'!$AM$30</definedName>
    <definedName name="group.teams" localSheetId="1">'Group A'!$O$9:$O$15</definedName>
    <definedName name="group.teams" localSheetId="2">'Group B'!$O$9:$O$15</definedName>
    <definedName name="group.teams" localSheetId="3">'Group C'!$O$9:$O$15</definedName>
    <definedName name="group.teams" localSheetId="4">'Group D'!$O$9:$O$15</definedName>
    <definedName name="group.teams" localSheetId="5">'Group E'!$O$9:$O$15</definedName>
    <definedName name="group.teams" localSheetId="6">'Group F'!$O$9:$O$15</definedName>
    <definedName name="group.teams" localSheetId="7">'Group G'!$O$9:$O$15</definedName>
    <definedName name="group.teams" localSheetId="8">'Group H'!$O$9:$O$15</definedName>
    <definedName name="GroupA.concat">Labels!$B$23</definedName>
    <definedName name="GroupA.link">Labels!$B$1:$B$6</definedName>
    <definedName name="GroupB.concat">Labels!$C$23</definedName>
    <definedName name="GroupB.link">Labels!$C$1:$C$6</definedName>
    <definedName name="GroupC.concat">Labels!$D$23</definedName>
    <definedName name="GroupC.link">Labels!$D$1:$D$6</definedName>
    <definedName name="GroupD.concat">Labels!$E$23</definedName>
    <definedName name="GroupD.link">Labels!$E$1:$E$6</definedName>
    <definedName name="GroupE.concat">Labels!$F$23</definedName>
    <definedName name="GroupE.link">Labels!$F$1:$F$6</definedName>
    <definedName name="GroupF.concat">Labels!$G$23</definedName>
    <definedName name="GroupF.link">Labels!$G$1:$G$6</definedName>
    <definedName name="GroupG.concat">Labels!$H$23</definedName>
    <definedName name="GroupG.link">Labels!$H$1:$H$6</definedName>
    <definedName name="GroupH.concat">Labels!$I$23</definedName>
    <definedName name="GroupH.link">Labels!$I$1:$I$6</definedName>
    <definedName name="GroupMatchTeam1">Labels!$B$97:$I$102</definedName>
    <definedName name="GroupMatchTeam2">Labels!$B$106:$I$111</definedName>
    <definedName name="Groups" localSheetId="12">Labels!$B$14:$I$17</definedName>
    <definedName name="Groups.English">Labels!$B$83:$I$86</definedName>
    <definedName name="Groups.TeamIndices">Labels!$B$90:$I$93</definedName>
    <definedName name="grp" localSheetId="12">Labels!$B$13:$I$13</definedName>
    <definedName name="idx" localSheetId="12">Labels!$R$32:$R$63</definedName>
    <definedName name="index.order" localSheetId="1">'Group A'!$AK$52:$AK$55</definedName>
    <definedName name="index.order" localSheetId="2">'Group B'!$AK$52:$AK$55</definedName>
    <definedName name="index.order" localSheetId="3">'Group C'!$AK$52:$AK$55</definedName>
    <definedName name="index.order" localSheetId="4">'Group D'!$AK$52:$AK$55</definedName>
    <definedName name="index.order" localSheetId="5">'Group E'!$AK$52:$AK$55</definedName>
    <definedName name="index.order" localSheetId="6">'Group F'!$AK$52:$AK$55</definedName>
    <definedName name="index.order" localSheetId="7">'Group G'!$AK$52:$AK$55</definedName>
    <definedName name="index.order" localSheetId="8">'Group H'!$AK$52:$AK$55</definedName>
    <definedName name="index.order">#REF!</definedName>
    <definedName name="iso">Flags!$C$2:$C$34</definedName>
    <definedName name="Knockout.concat">Labels!$J$23</definedName>
    <definedName name="KnockOut.link">Labels!$J$1:$J$6</definedName>
    <definedName name="KO.FN.score1" localSheetId="9">'Knock-Out'!$Q$13</definedName>
    <definedName name="KO.FN.score2" localSheetId="9">'Knock-Out'!$Q$21</definedName>
    <definedName name="KO.FN.team1" localSheetId="9">'Knock-Out'!$P$13</definedName>
    <definedName name="KO.FN.team2" localSheetId="9">'Knock-Out'!$P$21</definedName>
    <definedName name="KO.FR.score1" localSheetId="9">'Knock-Out'!$D1048575</definedName>
    <definedName name="KO.FR.score2" localSheetId="9">'Knock-Out'!$D3</definedName>
    <definedName name="KO.FR.team1" localSheetId="9">'Knock-Out'!XFA1048575</definedName>
    <definedName name="KO.FR.team2" localSheetId="9">'Knock-Out'!XFA3</definedName>
    <definedName name="KO.LF.score1" localSheetId="9">'Knock-Out'!$Q$45</definedName>
    <definedName name="KO.LF.score2" localSheetId="9">'Knock-Out'!$Q$53</definedName>
    <definedName name="KO.LF.team1" localSheetId="9">'Knock-Out'!$P$45</definedName>
    <definedName name="KO.LF.team2" localSheetId="9">'Knock-Out'!$P$53</definedName>
    <definedName name="KO.QF.score1" localSheetId="9">'Knock-Out'!$H1048573</definedName>
    <definedName name="KO.QF.score2" localSheetId="9">'Knock-Out'!$H5</definedName>
    <definedName name="KO.QF.team1" localSheetId="9">'Knock-Out'!XFA1048573</definedName>
    <definedName name="KO.QF.team2" localSheetId="9">'Knock-Out'!XFA5</definedName>
    <definedName name="KO.SF.score1" localSheetId="9">'Knock-Out'!$L$9</definedName>
    <definedName name="KO.SF.score2" localSheetId="9">'Knock-Out'!$L$25</definedName>
    <definedName name="KO.SF.score3" localSheetId="9">'Knock-Out'!$L$41</definedName>
    <definedName name="KO.SF.score4" localSheetId="9">'Knock-Out'!$L$57</definedName>
    <definedName name="KO.SF.team1" localSheetId="9">'Knock-Out'!$K$9</definedName>
    <definedName name="KO.SF.team2" localSheetId="9">'Knock-Out'!$K$25</definedName>
    <definedName name="KO.SF.team3" localSheetId="9">'Knock-Out'!$K$41</definedName>
    <definedName name="KO.SF.team4" localSheetId="9">'Knock-Out'!$K$57</definedName>
    <definedName name="language">CountryLists[#Headers]</definedName>
    <definedName name="language.idx" localSheetId="12">Labels!$D$10</definedName>
    <definedName name="language.name">Splash!$G$2</definedName>
    <definedName name="losses" localSheetId="1" xml:space="preserve"> INDEX( 'Group A'!standings, 0, 4 )</definedName>
    <definedName name="losses" localSheetId="2" xml:space="preserve"> INDEX( 'Group B'!standings, 0, 4 )</definedName>
    <definedName name="losses" localSheetId="3" xml:space="preserve"> INDEX( 'Group C'!standings, 0, 4 )</definedName>
    <definedName name="losses" localSheetId="4" xml:space="preserve"> INDEX( 'Group D'!standings, 0, 4 )</definedName>
    <definedName name="losses" localSheetId="5" xml:space="preserve"> INDEX( 'Group E'!standings, 0, 4 )</definedName>
    <definedName name="losses" localSheetId="6" xml:space="preserve"> INDEX( 'Group F'!standings, 0, 4 )</definedName>
    <definedName name="losses" localSheetId="7" xml:space="preserve"> INDEX( 'Group G'!standings, 0, 4 )</definedName>
    <definedName name="losses" localSheetId="8" xml:space="preserve"> INDEX( 'Group H'!standings, 0, 4 )</definedName>
    <definedName name="match.result" localSheetId="1">'Group A'!$AD$64:$AG$67</definedName>
    <definedName name="match.result" localSheetId="2">'Group B'!$AD$64:$AG$67</definedName>
    <definedName name="match.result" localSheetId="3">'Group C'!$AD$64:$AG$67</definedName>
    <definedName name="match.result" localSheetId="4">'Group D'!$AD$64:$AG$67</definedName>
    <definedName name="match.result" localSheetId="5">'Group E'!$AD$64:$AG$67</definedName>
    <definedName name="match.result" localSheetId="6">'Group F'!$AD$64:$AG$67</definedName>
    <definedName name="match.result" localSheetId="7">'Group G'!$AD$64:$AG$67</definedName>
    <definedName name="match.result" localSheetId="8">'Group H'!$AD$64:$AG$67</definedName>
    <definedName name="Matches" localSheetId="1">'Group A'!$E$7:$K$17</definedName>
    <definedName name="Matches" localSheetId="2">'Group B'!$E$7:$K$17</definedName>
    <definedName name="Matches" localSheetId="3">'Group C'!$E$7:$K$17</definedName>
    <definedName name="Matches" localSheetId="4">'Group D'!$E$7:$K$17</definedName>
    <definedName name="Matches" localSheetId="5">'Group E'!$E$7:$K$17</definedName>
    <definedName name="Matches" localSheetId="6">'Group F'!$E$7:$K$17</definedName>
    <definedName name="Matches" localSheetId="7">'Group G'!$E$7:$K$17</definedName>
    <definedName name="Matches" localSheetId="8">'Group H'!$E$7:$K$17</definedName>
    <definedName name="Null">Flags!$I$34</definedName>
    <definedName name="order" localSheetId="1">'Group A'!$AK$46:$AK$49</definedName>
    <definedName name="order" localSheetId="2">'Group B'!$AK$46:$AK$49</definedName>
    <definedName name="order" localSheetId="3">'Group C'!$AK$46:$AK$49</definedName>
    <definedName name="order" localSheetId="4">'Group D'!$AK$46:$AK$49</definedName>
    <definedName name="order" localSheetId="5">'Group E'!$AK$46:$AK$49</definedName>
    <definedName name="order" localSheetId="6">'Group F'!$AK$46:$AK$49</definedName>
    <definedName name="order" localSheetId="7">'Group G'!$AK$46:$AK$49</definedName>
    <definedName name="order" localSheetId="8">'Group H'!$AK$46:$AK$49</definedName>
    <definedName name="otherGroups">Labels!$B$1:$J$6</definedName>
    <definedName name="played" localSheetId="1" xml:space="preserve"> INDEX( 'Group A'!standings, 0, 1 )</definedName>
    <definedName name="played" localSheetId="2" xml:space="preserve"> INDEX( 'Group B'!standings, 0, 1 )</definedName>
    <definedName name="played" localSheetId="3" xml:space="preserve"> INDEX( 'Group C'!standings, 0, 1 )</definedName>
    <definedName name="played" localSheetId="4" xml:space="preserve"> INDEX( 'Group D'!standings, 0, 1 )</definedName>
    <definedName name="played" localSheetId="5" xml:space="preserve"> INDEX( 'Group E'!standings, 0, 1 )</definedName>
    <definedName name="played" localSheetId="6" xml:space="preserve"> INDEX( 'Group F'!standings, 0, 1 )</definedName>
    <definedName name="played" localSheetId="7" xml:space="preserve"> INDEX( 'Group G'!standings, 0, 1 )</definedName>
    <definedName name="played" localSheetId="8" xml:space="preserve"> INDEX( 'Group H'!standings, 0, 1 )</definedName>
    <definedName name="played.array" localSheetId="1">'Group A'!$AD$52:$AG$55</definedName>
    <definedName name="played.array" localSheetId="2">'Group B'!$AD$52:$AG$55</definedName>
    <definedName name="played.array" localSheetId="3">'Group C'!$AD$52:$AG$55</definedName>
    <definedName name="played.array" localSheetId="4">'Group D'!$AD$52:$AG$55</definedName>
    <definedName name="played.array" localSheetId="5">'Group E'!$AD$52:$AG$55</definedName>
    <definedName name="played.array" localSheetId="6">'Group F'!$AD$52:$AG$55</definedName>
    <definedName name="played.array" localSheetId="7">'Group G'!$AD$52:$AG$55</definedName>
    <definedName name="played.array" localSheetId="8">'Group H'!$AD$52:$AG$55</definedName>
    <definedName name="points" localSheetId="1" xml:space="preserve"> INDEX( 'Group A'!standings, 0, 8 )</definedName>
    <definedName name="points" localSheetId="2" xml:space="preserve"> INDEX( 'Group B'!standings, 0, 8 )</definedName>
    <definedName name="points" localSheetId="3" xml:space="preserve"> INDEX( 'Group C'!standings, 0, 8 )</definedName>
    <definedName name="points" localSheetId="4" xml:space="preserve"> INDEX( 'Group D'!standings, 0, 8 )</definedName>
    <definedName name="points" localSheetId="5" xml:space="preserve"> INDEX( 'Group E'!standings, 0, 8 )</definedName>
    <definedName name="points" localSheetId="6" xml:space="preserve"> INDEX( 'Group F'!standings, 0, 8 )</definedName>
    <definedName name="points" localSheetId="7" xml:space="preserve"> INDEX( 'Group G'!standings, 0, 8 )</definedName>
    <definedName name="points" localSheetId="8" xml:space="preserve"> INDEX( 'Group H'!standings, 0, 8 )</definedName>
    <definedName name="_xlnm.Print_Area" localSheetId="1">'Group A'!$A$1:$X$22</definedName>
    <definedName name="_xlnm.Print_Area" localSheetId="2">'Group B'!$A$1:$X$22</definedName>
    <definedName name="_xlnm.Print_Area" localSheetId="3">'Group C'!$A$1:$X$22</definedName>
    <definedName name="_xlnm.Print_Area" localSheetId="4">'Group D'!$A$1:$X$22</definedName>
    <definedName name="_xlnm.Print_Area" localSheetId="5">'Group E'!$A$1:$X$22</definedName>
    <definedName name="_xlnm.Print_Area" localSheetId="6">'Group F'!$A$1:$X$22</definedName>
    <definedName name="_xlnm.Print_Area" localSheetId="7">'Group G'!$A$1:$X$22</definedName>
    <definedName name="_xlnm.Print_Area" localSheetId="8">'Group H'!$A$1:$X$22</definedName>
    <definedName name="_xlnm.Print_Area" localSheetId="9">'Knock-Out'!$A$1:$U$72</definedName>
    <definedName name="_xlnm.Print_Area" localSheetId="0">Splash!$B$2:$Q$37</definedName>
    <definedName name="Round1.Team2" localSheetId="9">'Knock-Out'!XFA3</definedName>
    <definedName name="RunnerUp" localSheetId="1">'Group A'!$J$20</definedName>
    <definedName name="RunnerUp" localSheetId="2">'Group B'!$J$20</definedName>
    <definedName name="RunnerUp" localSheetId="3">'Group C'!$J$20</definedName>
    <definedName name="RunnerUp" localSheetId="4">'Group D'!$J$20</definedName>
    <definedName name="RunnerUp" localSheetId="5">'Group E'!$J$20</definedName>
    <definedName name="RunnerUp" localSheetId="6">'Group F'!$J$20</definedName>
    <definedName name="RunnerUp" localSheetId="7">'Group G'!$J$20</definedName>
    <definedName name="RunnerUp" localSheetId="8">'Group H'!$J$20</definedName>
    <definedName name="score.array" localSheetId="1">'Group A'!$AD$58:$AG$61</definedName>
    <definedName name="score.array" localSheetId="2">'Group B'!$AD$58:$AG$61</definedName>
    <definedName name="score.array" localSheetId="3">'Group C'!$AD$58:$AG$61</definedName>
    <definedName name="score.array" localSheetId="4">'Group D'!$AD$58:$AG$61</definedName>
    <definedName name="score.array" localSheetId="5">'Group E'!$AD$58:$AG$61</definedName>
    <definedName name="score.array" localSheetId="6">'Group F'!$AD$58:$AG$61</definedName>
    <definedName name="score.array" localSheetId="7">'Group G'!$AD$58:$AG$61</definedName>
    <definedName name="score.array" localSheetId="8">'Group H'!$AD$58:$AG$61</definedName>
    <definedName name="standing1st" localSheetId="1">'Group A'!$AI$52</definedName>
    <definedName name="standing1st" localSheetId="2">'Group B'!$AI$52</definedName>
    <definedName name="standing1st" localSheetId="3">'Group C'!$AI$52</definedName>
    <definedName name="standing1st" localSheetId="4">'Group D'!$AI$52</definedName>
    <definedName name="standing1st" localSheetId="5">'Group E'!$AI$52</definedName>
    <definedName name="standing1st" localSheetId="6">'Group F'!$AI$52</definedName>
    <definedName name="standing1st" localSheetId="7">'Group G'!$AI$52</definedName>
    <definedName name="standing1st" localSheetId="8">'Group H'!$AI$52</definedName>
    <definedName name="standings" localSheetId="1">'Group A'!$AJ$38:$AQ$41</definedName>
    <definedName name="standings" localSheetId="2">'Group B'!$AJ$38:$AQ$41</definedName>
    <definedName name="standings" localSheetId="3">'Group C'!$AJ$38:$AQ$41</definedName>
    <definedName name="standings" localSheetId="4">'Group D'!$AJ$38:$AQ$41</definedName>
    <definedName name="standings" localSheetId="5">'Group E'!$AJ$38:$AQ$41</definedName>
    <definedName name="standings" localSheetId="6">'Group F'!$AJ$38:$AQ$41</definedName>
    <definedName name="standings" localSheetId="7">'Group G'!$AJ$38:$AQ$41</definedName>
    <definedName name="standings" localSheetId="8">'Group H'!$AJ$38:$AQ$41</definedName>
    <definedName name="standings">#REF!</definedName>
    <definedName name="team.goalsScored" localSheetId="1">'Group A'!$AE$30:$AE$41</definedName>
    <definedName name="team.goalsScored" localSheetId="2">'Group B'!$AE$30:$AE$41</definedName>
    <definedName name="team.goalsScored" localSheetId="3">'Group C'!$AE$30:$AE$41</definedName>
    <definedName name="team.goalsScored" localSheetId="4">'Group D'!$AE$30:$AE$41</definedName>
    <definedName name="team.goalsScored" localSheetId="5">'Group E'!$AE$30:$AE$41</definedName>
    <definedName name="team.goalsScored" localSheetId="6">'Group F'!$AE$30:$AE$41</definedName>
    <definedName name="team.goalsScored" localSheetId="7">'Group G'!$AE$30:$AE$41</definedName>
    <definedName name="team.goalsScored" localSheetId="8">'Group H'!$AE$30:$AE$41</definedName>
    <definedName name="team.index" localSheetId="1">'Group A'!$AJ$30:$AJ$33</definedName>
    <definedName name="team.index" localSheetId="2">'Group B'!$AJ$30:$AJ$33</definedName>
    <definedName name="team.index" localSheetId="3">'Group C'!$AJ$30:$AJ$33</definedName>
    <definedName name="team.index" localSheetId="4">'Group D'!$AJ$30:$AJ$33</definedName>
    <definedName name="team.index" localSheetId="5">'Group E'!$AJ$30:$AJ$33</definedName>
    <definedName name="team.index" localSheetId="6">'Group F'!$AJ$30:$AJ$33</definedName>
    <definedName name="team.index" localSheetId="7">'Group G'!$AJ$30:$AJ$33</definedName>
    <definedName name="team.index" localSheetId="8">'Group H'!$AJ$30:$AJ$33</definedName>
    <definedName name="team.index.alpha" localSheetId="1">'Group A'!$AK$30:$AK$33</definedName>
    <definedName name="team.index.alpha" localSheetId="2">'Group B'!$AK$30:$AK$33</definedName>
    <definedName name="team.index.alpha" localSheetId="3">'Group C'!$AK$30:$AK$33</definedName>
    <definedName name="team.index.alpha" localSheetId="4">'Group D'!$AK$30:$AK$33</definedName>
    <definedName name="team.index.alpha" localSheetId="5">'Group E'!$AK$30:$AK$33</definedName>
    <definedName name="team.index.alpha" localSheetId="6">'Group F'!$AK$30:$AK$33</definedName>
    <definedName name="team.index.alpha" localSheetId="7">'Group G'!$AK$30:$AK$33</definedName>
    <definedName name="team.index.alpha" localSheetId="8">'Group H'!$AK$30:$AK$33</definedName>
    <definedName name="team.label" localSheetId="9">IF(ISNUMBER('Knock-Out'!→), INDEX(country.list, 'Knock-Out'!→), "" )</definedName>
    <definedName name="team.list" localSheetId="1">'Group A'!$AI$30:$AI$33</definedName>
    <definedName name="team.list" localSheetId="2">'Group B'!$AI$30:$AI$33</definedName>
    <definedName name="team.list" localSheetId="3">'Group C'!$AI$30:$AI$33</definedName>
    <definedName name="team.list" localSheetId="4">'Group D'!$AI$30:$AI$33</definedName>
    <definedName name="team.list" localSheetId="5">'Group E'!$AI$30:$AI$33</definedName>
    <definedName name="team.list" localSheetId="6">'Group F'!$AI$30:$AI$33</definedName>
    <definedName name="team.list" localSheetId="7">'Group G'!$AI$30:$AI$33</definedName>
    <definedName name="team.list" localSheetId="8">'Group H'!$AI$30:$AI$33</definedName>
    <definedName name="team.matchOpponent" localSheetId="1">'Group A'!$AD$30:$AD$41</definedName>
    <definedName name="team.matchOpponent" localSheetId="2">'Group B'!$AD$30:$AD$41</definedName>
    <definedName name="team.matchOpponent" localSheetId="3">'Group C'!$AD$30:$AD$41</definedName>
    <definedName name="team.matchOpponent" localSheetId="4">'Group D'!$AD$30:$AD$41</definedName>
    <definedName name="team.matchOpponent" localSheetId="5">'Group E'!$AD$30:$AD$41</definedName>
    <definedName name="team.matchOpponent" localSheetId="6">'Group F'!$AD$30:$AD$41</definedName>
    <definedName name="team.matchOpponent" localSheetId="7">'Group G'!$AD$30:$AD$41</definedName>
    <definedName name="team.matchOpponent" localSheetId="8">'Group H'!$AD$30:$AD$41</definedName>
    <definedName name="team.matchResult" localSheetId="1">'Group A'!$AC$30:$AC$41</definedName>
    <definedName name="team.matchResult" localSheetId="2">'Group B'!$AC$30:$AC$41</definedName>
    <definedName name="team.matchResult" localSheetId="3">'Group C'!$AC$30:$AC$41</definedName>
    <definedName name="team.matchResult" localSheetId="4">'Group D'!$AC$30:$AC$41</definedName>
    <definedName name="team.matchResult" localSheetId="5">'Group E'!$AC$30:$AC$41</definedName>
    <definedName name="team.matchResult" localSheetId="6">'Group F'!$AC$30:$AC$41</definedName>
    <definedName name="team.matchResult" localSheetId="7">'Group G'!$AC$30:$AC$41</definedName>
    <definedName name="team.matchResult" localSheetId="8">'Group H'!$AC$30:$AC$41</definedName>
    <definedName name="team.order" localSheetId="1">'Group A'!$AI$52:$AI$55</definedName>
    <definedName name="team.order" localSheetId="2">'Group B'!$AI$52:$AI$55</definedName>
    <definedName name="team.order" localSheetId="3">'Group C'!$AI$52:$AI$55</definedName>
    <definedName name="team.order" localSheetId="4">'Group D'!$AI$52:$AI$55</definedName>
    <definedName name="team.order" localSheetId="5">'Group E'!$AI$52:$AI$55</definedName>
    <definedName name="team.order" localSheetId="6">'Group F'!$AI$52:$AI$55</definedName>
    <definedName name="team.order" localSheetId="7">'Group G'!$AI$52:$AI$55</definedName>
    <definedName name="team.order" localSheetId="8">'Group H'!$AI$52:$AI$55</definedName>
    <definedName name="Winner" localSheetId="1">'Group A'!$F$20</definedName>
    <definedName name="Winner" localSheetId="2">'Group B'!$F$20</definedName>
    <definedName name="Winner" localSheetId="3">'Group C'!$F$20</definedName>
    <definedName name="Winner" localSheetId="4">'Group D'!$F$20</definedName>
    <definedName name="Winner" localSheetId="5">'Group E'!$F$20</definedName>
    <definedName name="Winner" localSheetId="6">'Group F'!$F$20</definedName>
    <definedName name="Winner" localSheetId="7">'Group G'!$F$20</definedName>
    <definedName name="Winner" localSheetId="8">'Group H'!$F$20</definedName>
    <definedName name="wins" localSheetId="1" xml:space="preserve"> INDEX( 'Group A'!standings, 0, 2 )</definedName>
    <definedName name="wins" localSheetId="2" xml:space="preserve"> INDEX( 'Group B'!standings, 0, 2 )</definedName>
    <definedName name="wins" localSheetId="3" xml:space="preserve"> INDEX( 'Group C'!standings, 0, 2 )</definedName>
    <definedName name="wins" localSheetId="4" xml:space="preserve"> INDEX( 'Group D'!standings, 0, 2 )</definedName>
    <definedName name="wins" localSheetId="5" xml:space="preserve"> INDEX( 'Group E'!standings, 0, 2 )</definedName>
    <definedName name="wins" localSheetId="6" xml:space="preserve"> INDEX( 'Group F'!standings, 0, 2 )</definedName>
    <definedName name="wins" localSheetId="7" xml:space="preserve"> INDEX( 'Group G'!standings, 0, 2 )</definedName>
    <definedName name="wins" localSheetId="8" xml:space="preserve"> INDEX( 'Group H'!standings, 0, 2 )</definedName>
  </definedNames>
  <calcPr calcId="162913"/>
</workbook>
</file>

<file path=xl/calcChain.xml><?xml version="1.0" encoding="utf-8"?>
<calcChain xmlns="http://schemas.openxmlformats.org/spreadsheetml/2006/main">
  <c r="D10" i="19" l="1"/>
  <c r="F10" i="19"/>
  <c r="C17" i="32"/>
  <c r="C15" i="32"/>
  <c r="C13" i="32"/>
  <c r="C11" i="32"/>
  <c r="C9" i="32"/>
  <c r="C7" i="32"/>
  <c r="C17" i="33"/>
  <c r="C15" i="33"/>
  <c r="C13" i="33"/>
  <c r="C11" i="33"/>
  <c r="C9" i="33"/>
  <c r="C7" i="33"/>
  <c r="C17" i="34"/>
  <c r="C15" i="34"/>
  <c r="C13" i="34"/>
  <c r="C11" i="34"/>
  <c r="C9" i="34"/>
  <c r="C7" i="34"/>
  <c r="C17" i="35"/>
  <c r="C15" i="35"/>
  <c r="C13" i="35"/>
  <c r="C11" i="35"/>
  <c r="C9" i="35"/>
  <c r="C7" i="35"/>
  <c r="C17" i="36"/>
  <c r="C15" i="36"/>
  <c r="C13" i="36"/>
  <c r="C11" i="36"/>
  <c r="C9" i="36"/>
  <c r="C7" i="36"/>
  <c r="C17" i="37"/>
  <c r="C15" i="37"/>
  <c r="C13" i="37"/>
  <c r="C11" i="37"/>
  <c r="C9" i="37"/>
  <c r="C7" i="37"/>
  <c r="C17" i="31"/>
  <c r="C15" i="31"/>
  <c r="C13" i="31"/>
  <c r="C11" i="31"/>
  <c r="C9" i="31"/>
  <c r="C7" i="31"/>
  <c r="N5" i="32"/>
  <c r="I5" i="32"/>
  <c r="E5" i="32"/>
  <c r="D5" i="32"/>
  <c r="C5" i="32"/>
  <c r="B5" i="32"/>
  <c r="N5" i="33"/>
  <c r="I5" i="33"/>
  <c r="E5" i="33"/>
  <c r="D5" i="33"/>
  <c r="C5" i="33"/>
  <c r="B5" i="33"/>
  <c r="N5" i="34"/>
  <c r="I5" i="34"/>
  <c r="E5" i="34"/>
  <c r="D5" i="34"/>
  <c r="C5" i="34"/>
  <c r="B5" i="34"/>
  <c r="N5" i="35"/>
  <c r="I5" i="35"/>
  <c r="E5" i="35"/>
  <c r="D5" i="35"/>
  <c r="C5" i="35"/>
  <c r="B5" i="35"/>
  <c r="N5" i="36"/>
  <c r="I5" i="36"/>
  <c r="E5" i="36"/>
  <c r="D5" i="36"/>
  <c r="C5" i="36"/>
  <c r="B5" i="36"/>
  <c r="N5" i="37"/>
  <c r="I5" i="37"/>
  <c r="E5" i="37"/>
  <c r="D5" i="37"/>
  <c r="C5" i="37"/>
  <c r="B5" i="37"/>
  <c r="N5" i="31"/>
  <c r="I5" i="31"/>
  <c r="E5" i="31"/>
  <c r="D5" i="31"/>
  <c r="C5" i="31"/>
  <c r="B5" i="31"/>
  <c r="C17" i="39"/>
  <c r="C15" i="39"/>
  <c r="C13" i="39"/>
  <c r="C11" i="39"/>
  <c r="C9" i="39"/>
  <c r="C7" i="39"/>
  <c r="J23" i="19"/>
  <c r="J3" i="19"/>
  <c r="J19" i="39"/>
  <c r="E19" i="39"/>
  <c r="B5" i="39"/>
  <c r="C5" i="39"/>
  <c r="D5" i="39"/>
  <c r="E5" i="39"/>
  <c r="I5" i="39"/>
  <c r="N5" i="39"/>
  <c r="G2" i="2" a="1"/>
  <c r="G2" i="2"/>
  <c r="H34" i="2"/>
  <c r="T45" i="10"/>
  <c r="T37" i="10"/>
  <c r="T29" i="10"/>
  <c r="T21" i="10"/>
  <c r="P53" i="10"/>
  <c r="P45" i="10"/>
  <c r="P21" i="10"/>
  <c r="P13" i="10"/>
  <c r="K57" i="10"/>
  <c r="K41" i="10"/>
  <c r="K25" i="10"/>
  <c r="K9" i="10"/>
  <c r="G61" i="10"/>
  <c r="F61" i="10"/>
  <c r="G53" i="10"/>
  <c r="G45" i="10"/>
  <c r="G37" i="10"/>
  <c r="G29" i="10"/>
  <c r="G21" i="10"/>
  <c r="G13" i="10"/>
  <c r="G21" i="2"/>
  <c r="G29" i="2"/>
  <c r="G17" i="2"/>
  <c r="G5" i="2"/>
  <c r="G28" i="2"/>
  <c r="G16" i="2"/>
  <c r="G31" i="2"/>
  <c r="G23" i="2"/>
  <c r="G19" i="2"/>
  <c r="G15" i="2"/>
  <c r="G11" i="2"/>
  <c r="G7" i="2"/>
  <c r="G3" i="2"/>
  <c r="G33" i="2"/>
  <c r="G25" i="2"/>
  <c r="G13" i="2"/>
  <c r="G9" i="2"/>
  <c r="G32" i="2"/>
  <c r="G24" i="2"/>
  <c r="G20" i="2"/>
  <c r="G12" i="2"/>
  <c r="G8" i="2"/>
  <c r="G4" i="2"/>
  <c r="G27" i="2"/>
  <c r="G30" i="2"/>
  <c r="G26" i="2"/>
  <c r="G22" i="2"/>
  <c r="G18" i="2"/>
  <c r="G14" i="2"/>
  <c r="G10" i="2"/>
  <c r="G6" i="2"/>
  <c r="I10" i="19"/>
  <c r="AE36" i="39" a="1"/>
  <c r="AE41" i="39"/>
  <c r="AJ30" i="39" a="1"/>
  <c r="AJ31" i="39"/>
  <c r="AE30" i="39" a="1"/>
  <c r="AE33" i="39"/>
  <c r="D17" i="39"/>
  <c r="B15" i="39"/>
  <c r="D15" i="39"/>
  <c r="B13" i="39"/>
  <c r="D13" i="39"/>
  <c r="B11" i="39"/>
  <c r="D11" i="39"/>
  <c r="B9" i="39"/>
  <c r="D9" i="39"/>
  <c r="B7" i="39"/>
  <c r="AE38" i="39"/>
  <c r="AJ30" i="39"/>
  <c r="AJ32" i="39"/>
  <c r="D7" i="39"/>
  <c r="AE32" i="39"/>
  <c r="AE35" i="39"/>
  <c r="AE31" i="39"/>
  <c r="AE34" i="39"/>
  <c r="AE30" i="39"/>
  <c r="AJ33" i="39"/>
  <c r="AE39" i="39"/>
  <c r="AE36" i="39"/>
  <c r="AE40" i="39"/>
  <c r="AE37" i="39"/>
  <c r="AE36" i="37" a="1"/>
  <c r="AE38" i="37"/>
  <c r="AJ30" i="37" a="1"/>
  <c r="AE30" i="37" a="1"/>
  <c r="AE34" i="37"/>
  <c r="B17" i="37"/>
  <c r="B15" i="37"/>
  <c r="B13" i="37"/>
  <c r="B11" i="37"/>
  <c r="B9" i="37"/>
  <c r="B7" i="37"/>
  <c r="AE36" i="36" a="1"/>
  <c r="AE39" i="36"/>
  <c r="AJ30" i="36" a="1"/>
  <c r="AJ30" i="36"/>
  <c r="AE30" i="36" a="1"/>
  <c r="AE33" i="36"/>
  <c r="B17" i="36"/>
  <c r="B15" i="36"/>
  <c r="B13" i="36"/>
  <c r="B11" i="36"/>
  <c r="B9" i="36"/>
  <c r="B7" i="36"/>
  <c r="AE36" i="35" a="1"/>
  <c r="AE39" i="35"/>
  <c r="AJ30" i="35" a="1"/>
  <c r="AJ31" i="35"/>
  <c r="AE30" i="35" a="1"/>
  <c r="AE32" i="35"/>
  <c r="B17" i="35"/>
  <c r="D17" i="35"/>
  <c r="B15" i="35"/>
  <c r="D15" i="35"/>
  <c r="B13" i="35"/>
  <c r="B11" i="35"/>
  <c r="D11" i="35"/>
  <c r="B9" i="35"/>
  <c r="D9" i="35"/>
  <c r="B7" i="35"/>
  <c r="D7" i="35"/>
  <c r="AE36" i="34" a="1"/>
  <c r="AE39" i="34"/>
  <c r="AJ30" i="34" a="1"/>
  <c r="AJ33" i="34"/>
  <c r="AE30" i="34" a="1"/>
  <c r="AE33" i="34"/>
  <c r="B17" i="34"/>
  <c r="B15" i="34"/>
  <c r="D15" i="34"/>
  <c r="B13" i="34"/>
  <c r="D13" i="34"/>
  <c r="B11" i="34"/>
  <c r="D11" i="34"/>
  <c r="B9" i="34"/>
  <c r="D9" i="34"/>
  <c r="B7" i="34"/>
  <c r="AE36" i="33" a="1"/>
  <c r="AE39" i="33"/>
  <c r="AJ30" i="33" a="1"/>
  <c r="AJ33" i="33"/>
  <c r="AE30" i="33" a="1"/>
  <c r="AE33" i="33"/>
  <c r="B17" i="33"/>
  <c r="B15" i="33"/>
  <c r="B13" i="33"/>
  <c r="B11" i="33"/>
  <c r="B9" i="33"/>
  <c r="B7" i="33"/>
  <c r="D7" i="33"/>
  <c r="AE36" i="32" a="1"/>
  <c r="AE40" i="32"/>
  <c r="AJ30" i="32" a="1"/>
  <c r="AJ30" i="32"/>
  <c r="AE30" i="32" a="1"/>
  <c r="AE35" i="32"/>
  <c r="B17" i="32"/>
  <c r="B15" i="32"/>
  <c r="B13" i="32"/>
  <c r="B11" i="32"/>
  <c r="B9" i="32"/>
  <c r="B7" i="32"/>
  <c r="D7" i="32"/>
  <c r="AE36" i="31" a="1"/>
  <c r="AE40" i="31"/>
  <c r="AJ30" i="31" a="1"/>
  <c r="AJ30" i="31"/>
  <c r="AE30" i="31" a="1"/>
  <c r="AE34" i="31"/>
  <c r="B17" i="31"/>
  <c r="B15" i="31"/>
  <c r="B13" i="31"/>
  <c r="B11" i="31"/>
  <c r="B9" i="31"/>
  <c r="B7" i="31"/>
  <c r="AJ32" i="35"/>
  <c r="AJ32" i="34"/>
  <c r="D17" i="32"/>
  <c r="AJ30" i="33"/>
  <c r="AE38" i="34"/>
  <c r="D13" i="35"/>
  <c r="AJ31" i="32"/>
  <c r="AE36" i="33"/>
  <c r="AE35" i="35"/>
  <c r="AJ32" i="36"/>
  <c r="AE32" i="32"/>
  <c r="AE37" i="32"/>
  <c r="AE30" i="33"/>
  <c r="AE40" i="33"/>
  <c r="D15" i="36"/>
  <c r="AE30" i="36"/>
  <c r="AJ33" i="36"/>
  <c r="AE41" i="32"/>
  <c r="AE31" i="33"/>
  <c r="AE33" i="37"/>
  <c r="AE34" i="33"/>
  <c r="AE30" i="35"/>
  <c r="D17" i="36"/>
  <c r="AJ31" i="36"/>
  <c r="AE35" i="33"/>
  <c r="D7" i="31"/>
  <c r="AE31" i="31"/>
  <c r="AE35" i="31"/>
  <c r="AJ31" i="31"/>
  <c r="AE37" i="31"/>
  <c r="AE41" i="31"/>
  <c r="D9" i="32"/>
  <c r="D11" i="32"/>
  <c r="D13" i="32"/>
  <c r="D15" i="32"/>
  <c r="D9" i="31"/>
  <c r="D11" i="31"/>
  <c r="D13" i="31"/>
  <c r="D15" i="31"/>
  <c r="D17" i="31"/>
  <c r="AE32" i="31"/>
  <c r="AJ32" i="31"/>
  <c r="AE38" i="31"/>
  <c r="AE33" i="31"/>
  <c r="AJ33" i="31"/>
  <c r="AE39" i="31"/>
  <c r="AE30" i="31"/>
  <c r="AE36" i="31"/>
  <c r="AE33" i="32"/>
  <c r="AJ32" i="32"/>
  <c r="AE38" i="32"/>
  <c r="D9" i="33"/>
  <c r="D11" i="33"/>
  <c r="D13" i="33"/>
  <c r="D15" i="33"/>
  <c r="D17" i="33"/>
  <c r="AE32" i="33"/>
  <c r="AJ31" i="33"/>
  <c r="AE37" i="33"/>
  <c r="AE41" i="33"/>
  <c r="AE30" i="32"/>
  <c r="AE34" i="32"/>
  <c r="AJ33" i="32"/>
  <c r="AE39" i="32"/>
  <c r="AJ32" i="33"/>
  <c r="AE38" i="33"/>
  <c r="AE31" i="32"/>
  <c r="AE36" i="32"/>
  <c r="D7" i="34"/>
  <c r="AE34" i="34"/>
  <c r="AE30" i="34"/>
  <c r="AE32" i="34"/>
  <c r="AE35" i="34"/>
  <c r="AE31" i="34"/>
  <c r="AJ30" i="34"/>
  <c r="AE36" i="34"/>
  <c r="AE40" i="34"/>
  <c r="AE33" i="35"/>
  <c r="AE38" i="35"/>
  <c r="D17" i="34"/>
  <c r="AJ31" i="34"/>
  <c r="AE37" i="34"/>
  <c r="AE41" i="34"/>
  <c r="AE34" i="35"/>
  <c r="AJ30" i="35"/>
  <c r="AE41" i="35"/>
  <c r="AE37" i="35"/>
  <c r="AE40" i="35"/>
  <c r="D7" i="36"/>
  <c r="AE31" i="35"/>
  <c r="AJ33" i="35"/>
  <c r="AE36" i="35"/>
  <c r="D9" i="36"/>
  <c r="D11" i="36"/>
  <c r="D13" i="36"/>
  <c r="AE38" i="36"/>
  <c r="D7" i="37"/>
  <c r="AE35" i="36"/>
  <c r="AE31" i="36"/>
  <c r="AE34" i="36"/>
  <c r="AE40" i="36"/>
  <c r="AE36" i="36"/>
  <c r="AE41" i="36"/>
  <c r="AE32" i="36"/>
  <c r="AE37" i="36"/>
  <c r="AJ32" i="37"/>
  <c r="AJ31" i="37"/>
  <c r="AJ30" i="37"/>
  <c r="AE32" i="37"/>
  <c r="AE35" i="37"/>
  <c r="AE31" i="37"/>
  <c r="AJ33" i="37"/>
  <c r="D9" i="37"/>
  <c r="D11" i="37"/>
  <c r="D13" i="37"/>
  <c r="D15" i="37"/>
  <c r="D17" i="37"/>
  <c r="AE30" i="37"/>
  <c r="AE39" i="37"/>
  <c r="AE36" i="37"/>
  <c r="AE40" i="37"/>
  <c r="AE37" i="37"/>
  <c r="AE41" i="37"/>
  <c r="I2" i="2"/>
  <c r="I29" i="2"/>
  <c r="I21" i="2"/>
  <c r="I5" i="2"/>
  <c r="I32" i="2"/>
  <c r="I28" i="2"/>
  <c r="I24" i="2"/>
  <c r="I20" i="2"/>
  <c r="I16" i="2"/>
  <c r="I12" i="2"/>
  <c r="I8" i="2"/>
  <c r="I4" i="2"/>
  <c r="I25" i="2"/>
  <c r="I13" i="2"/>
  <c r="I31" i="2"/>
  <c r="I27" i="2"/>
  <c r="I23" i="2"/>
  <c r="I19" i="2"/>
  <c r="I15" i="2"/>
  <c r="I11" i="2"/>
  <c r="I7" i="2"/>
  <c r="I3" i="2"/>
  <c r="I33" i="2"/>
  <c r="I17" i="2"/>
  <c r="I9" i="2"/>
  <c r="I30" i="2"/>
  <c r="I26" i="2"/>
  <c r="I22" i="2"/>
  <c r="I18" i="2"/>
  <c r="I14" i="2"/>
  <c r="I10" i="2"/>
  <c r="I6" i="2"/>
  <c r="B83" i="19" a="1"/>
  <c r="F86" i="19"/>
  <c r="E86" i="19"/>
  <c r="E85" i="19"/>
  <c r="I84" i="19"/>
  <c r="I83" i="19"/>
  <c r="C83" i="19"/>
  <c r="I86" i="19"/>
  <c r="D86" i="19"/>
  <c r="H85" i="19"/>
  <c r="D85" i="19"/>
  <c r="H84" i="19"/>
  <c r="D84" i="19"/>
  <c r="H83" i="19"/>
  <c r="H86" i="19"/>
  <c r="C86" i="19"/>
  <c r="G85" i="19"/>
  <c r="C85" i="19"/>
  <c r="G84" i="19"/>
  <c r="C84" i="19"/>
  <c r="G83" i="19"/>
  <c r="G86" i="19"/>
  <c r="B86" i="19"/>
  <c r="F85" i="19"/>
  <c r="B85" i="19"/>
  <c r="F84" i="19"/>
  <c r="B84" i="19"/>
  <c r="F83" i="19"/>
  <c r="B83" i="19"/>
  <c r="I85" i="19"/>
  <c r="E84" i="19"/>
  <c r="E83" i="19"/>
  <c r="D83" i="19"/>
  <c r="J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B115" i="19" a="1"/>
  <c r="B124" i="19" a="1"/>
  <c r="B90" i="19" a="1"/>
  <c r="H90" i="19"/>
  <c r="B115" i="19"/>
  <c r="E119" i="19"/>
  <c r="E117" i="19"/>
  <c r="E115" i="19"/>
  <c r="D119" i="19"/>
  <c r="D117" i="19"/>
  <c r="D115" i="19"/>
  <c r="C119" i="19"/>
  <c r="C117" i="19"/>
  <c r="C115" i="19"/>
  <c r="F119" i="19"/>
  <c r="F117" i="19"/>
  <c r="F115" i="19"/>
  <c r="E120" i="19"/>
  <c r="E116" i="19"/>
  <c r="D118" i="19"/>
  <c r="C120" i="19"/>
  <c r="C116" i="19"/>
  <c r="F118" i="19"/>
  <c r="I117" i="19"/>
  <c r="H119" i="19"/>
  <c r="H115" i="19"/>
  <c r="G117" i="19"/>
  <c r="B120" i="19"/>
  <c r="B116" i="19"/>
  <c r="I118" i="19"/>
  <c r="I116" i="19"/>
  <c r="H120" i="19"/>
  <c r="H118" i="19"/>
  <c r="H116" i="19"/>
  <c r="G120" i="19"/>
  <c r="G118" i="19"/>
  <c r="G116" i="19"/>
  <c r="I120" i="19"/>
  <c r="B119" i="19"/>
  <c r="B117" i="19"/>
  <c r="E118" i="19"/>
  <c r="D120" i="19"/>
  <c r="D116" i="19"/>
  <c r="C118" i="19"/>
  <c r="F120" i="19"/>
  <c r="F116" i="19"/>
  <c r="I119" i="19"/>
  <c r="I115" i="19"/>
  <c r="H117" i="19"/>
  <c r="G119" i="19"/>
  <c r="G115" i="19"/>
  <c r="B118" i="19"/>
  <c r="B124" i="19"/>
  <c r="I127" i="19"/>
  <c r="E125" i="19"/>
  <c r="D129" i="19"/>
  <c r="D127" i="19"/>
  <c r="D125" i="19"/>
  <c r="C129" i="19"/>
  <c r="E127" i="19"/>
  <c r="G127" i="19"/>
  <c r="C125" i="19"/>
  <c r="B129" i="19"/>
  <c r="B127" i="19"/>
  <c r="B125" i="19"/>
  <c r="E124" i="19"/>
  <c r="D126" i="19"/>
  <c r="I129" i="19"/>
  <c r="G126" i="19"/>
  <c r="B128" i="19"/>
  <c r="I125" i="19"/>
  <c r="H127" i="19"/>
  <c r="E129" i="19"/>
  <c r="C128" i="19"/>
  <c r="F129" i="19"/>
  <c r="F125" i="19"/>
  <c r="I126" i="19"/>
  <c r="I124" i="19"/>
  <c r="H128" i="19"/>
  <c r="H126" i="19"/>
  <c r="H124" i="19"/>
  <c r="C126" i="19"/>
  <c r="G129" i="19"/>
  <c r="C127" i="19"/>
  <c r="G124" i="19"/>
  <c r="F128" i="19"/>
  <c r="F126" i="19"/>
  <c r="F124" i="19"/>
  <c r="E126" i="19"/>
  <c r="D128" i="19"/>
  <c r="D124" i="19"/>
  <c r="G128" i="19"/>
  <c r="C124" i="19"/>
  <c r="B126" i="19"/>
  <c r="I128" i="19"/>
  <c r="H129" i="19"/>
  <c r="H125" i="19"/>
  <c r="E128" i="19"/>
  <c r="G125" i="19"/>
  <c r="F127" i="19"/>
  <c r="I90" i="19"/>
  <c r="H92" i="19"/>
  <c r="E93" i="19"/>
  <c r="D92" i="19"/>
  <c r="I93" i="19"/>
  <c r="G92" i="19"/>
  <c r="C90" i="19"/>
  <c r="F93" i="19"/>
  <c r="F91" i="19"/>
  <c r="E91" i="19"/>
  <c r="H91" i="19"/>
  <c r="E92" i="19"/>
  <c r="G91" i="19"/>
  <c r="I92" i="19"/>
  <c r="B93" i="19"/>
  <c r="B91" i="19"/>
  <c r="H93" i="19"/>
  <c r="D91" i="19"/>
  <c r="G93" i="19"/>
  <c r="C91" i="19"/>
  <c r="I91" i="19"/>
  <c r="F92" i="19"/>
  <c r="F90" i="19"/>
  <c r="B90" i="19"/>
  <c r="D93" i="19"/>
  <c r="D90" i="19"/>
  <c r="C93" i="19"/>
  <c r="G90" i="19"/>
  <c r="E90" i="19"/>
  <c r="B92" i="19"/>
  <c r="C92" i="19"/>
  <c r="AK30" i="35" a="1"/>
  <c r="AK30" i="35"/>
  <c r="E23" i="19"/>
  <c r="F23" i="19"/>
  <c r="B23" i="19"/>
  <c r="C23" i="19"/>
  <c r="G23" i="19"/>
  <c r="D23" i="19"/>
  <c r="H23" i="19"/>
  <c r="I23" i="19"/>
  <c r="H2" i="2" a="1"/>
  <c r="H18" i="2"/>
  <c r="AK30" i="39" a="1"/>
  <c r="AK32" i="39"/>
  <c r="AK30" i="36" a="1"/>
  <c r="AK33" i="36"/>
  <c r="AK30" i="34" a="1"/>
  <c r="AK30" i="34"/>
  <c r="AK30" i="33" a="1"/>
  <c r="AK33" i="33"/>
  <c r="AK30" i="31" a="1"/>
  <c r="AK30" i="32" a="1"/>
  <c r="AK30" i="37" a="1"/>
  <c r="B14" i="19" a="1"/>
  <c r="I17" i="19"/>
  <c r="E2" i="2" a="1"/>
  <c r="AK30" i="39"/>
  <c r="AK31" i="35"/>
  <c r="AK33" i="39"/>
  <c r="AK32" i="35"/>
  <c r="AK33" i="35"/>
  <c r="H5" i="2"/>
  <c r="AK32" i="36"/>
  <c r="AK31" i="39"/>
  <c r="H3" i="2"/>
  <c r="H2" i="2"/>
  <c r="H12" i="2"/>
  <c r="H10" i="2"/>
  <c r="H6" i="2"/>
  <c r="AK30" i="36"/>
  <c r="H16" i="2"/>
  <c r="H8" i="2"/>
  <c r="H4" i="2"/>
  <c r="H14" i="2"/>
  <c r="H7" i="2"/>
  <c r="H19" i="2"/>
  <c r="H29" i="2"/>
  <c r="H23" i="2"/>
  <c r="H17" i="2"/>
  <c r="H15" i="2"/>
  <c r="H13" i="2"/>
  <c r="H11" i="2"/>
  <c r="H9" i="2"/>
  <c r="H31" i="2"/>
  <c r="H27" i="2"/>
  <c r="H25" i="2"/>
  <c r="H21" i="2"/>
  <c r="H33" i="2"/>
  <c r="H32" i="2"/>
  <c r="H30" i="2"/>
  <c r="H28" i="2"/>
  <c r="H26" i="2"/>
  <c r="H24" i="2"/>
  <c r="H22" i="2"/>
  <c r="H20" i="2"/>
  <c r="AK31" i="36"/>
  <c r="AK32" i="33"/>
  <c r="AK33" i="34"/>
  <c r="AK30" i="33"/>
  <c r="AK31" i="34"/>
  <c r="AK32" i="34"/>
  <c r="AK31" i="33"/>
  <c r="AK31" i="37"/>
  <c r="AK30" i="37"/>
  <c r="AK33" i="37"/>
  <c r="AK32" i="37"/>
  <c r="AK33" i="32"/>
  <c r="AK32" i="32"/>
  <c r="AK31" i="32"/>
  <c r="AK30" i="32"/>
  <c r="AK33" i="31"/>
  <c r="AK32" i="31"/>
  <c r="AK31" i="31"/>
  <c r="AK30" i="31"/>
  <c r="B14" i="19"/>
  <c r="C14" i="19"/>
  <c r="D14" i="19"/>
  <c r="D16" i="19"/>
  <c r="E16" i="19"/>
  <c r="F16" i="19"/>
  <c r="G16" i="19"/>
  <c r="H16" i="19"/>
  <c r="I16" i="19"/>
  <c r="B15" i="19"/>
  <c r="B17" i="19"/>
  <c r="C15" i="19"/>
  <c r="C17" i="19"/>
  <c r="D15" i="19"/>
  <c r="D17" i="19"/>
  <c r="E15" i="19"/>
  <c r="E17" i="19"/>
  <c r="B16" i="19"/>
  <c r="C16" i="19"/>
  <c r="E14" i="19"/>
  <c r="F14" i="19"/>
  <c r="G14" i="19"/>
  <c r="H14" i="19"/>
  <c r="I14" i="19"/>
  <c r="F15" i="19"/>
  <c r="F17" i="19"/>
  <c r="G15" i="19"/>
  <c r="G17" i="19"/>
  <c r="H15" i="19"/>
  <c r="H17" i="19"/>
  <c r="I15" i="19"/>
  <c r="E2" i="2"/>
  <c r="E33" i="2"/>
  <c r="E17" i="2"/>
  <c r="E27" i="2"/>
  <c r="E20" i="2"/>
  <c r="E4" i="2"/>
  <c r="E15" i="2"/>
  <c r="E30" i="2"/>
  <c r="E14" i="2"/>
  <c r="E29" i="2"/>
  <c r="E13" i="2"/>
  <c r="E32" i="2"/>
  <c r="E16" i="2"/>
  <c r="E31" i="2"/>
  <c r="E11" i="2"/>
  <c r="E26" i="2"/>
  <c r="E10" i="2"/>
  <c r="E25" i="2"/>
  <c r="E9" i="2"/>
  <c r="E28" i="2"/>
  <c r="E12" i="2"/>
  <c r="E23" i="2"/>
  <c r="E7" i="2"/>
  <c r="E22" i="2"/>
  <c r="E6" i="2"/>
  <c r="E21" i="2"/>
  <c r="E5" i="2"/>
  <c r="E24" i="2"/>
  <c r="E8" i="2"/>
  <c r="E19" i="2"/>
  <c r="E3" i="2"/>
  <c r="E18" i="2"/>
  <c r="AI30" i="39" a="1"/>
  <c r="AI32" i="39"/>
  <c r="AI30" i="34" a="1"/>
  <c r="AI33" i="34"/>
  <c r="AI30" i="37" a="1"/>
  <c r="K3" i="19" a="1"/>
  <c r="N5" i="19"/>
  <c r="AI30" i="35" a="1"/>
  <c r="AI30" i="31" a="1"/>
  <c r="AI30" i="33" a="1"/>
  <c r="AI30" i="36" a="1"/>
  <c r="AI30" i="32" a="1"/>
  <c r="B3" i="19" a="1"/>
  <c r="L13" i="8"/>
  <c r="K17" i="31"/>
  <c r="L10" i="8"/>
  <c r="K11" i="31"/>
  <c r="K9" i="8"/>
  <c r="E9" i="31"/>
  <c r="L12" i="8"/>
  <c r="K15" i="31"/>
  <c r="K8" i="8"/>
  <c r="E7" i="31"/>
  <c r="K10" i="8"/>
  <c r="E11" i="31"/>
  <c r="L16" i="8"/>
  <c r="K11" i="32"/>
  <c r="K15" i="8"/>
  <c r="E9" i="32"/>
  <c r="L19" i="8"/>
  <c r="K17" i="32"/>
  <c r="K16" i="8"/>
  <c r="E11" i="32"/>
  <c r="L18" i="8"/>
  <c r="K15" i="32"/>
  <c r="K14" i="8"/>
  <c r="E7" i="32"/>
  <c r="L25" i="8"/>
  <c r="K17" i="33"/>
  <c r="L22" i="8"/>
  <c r="K11" i="33"/>
  <c r="K21" i="8"/>
  <c r="E9" i="33"/>
  <c r="L24" i="8"/>
  <c r="K15" i="33"/>
  <c r="K20" i="8"/>
  <c r="E7" i="33"/>
  <c r="K22" i="8"/>
  <c r="E11" i="33"/>
  <c r="L28" i="8"/>
  <c r="K11" i="34"/>
  <c r="K27" i="8"/>
  <c r="E9" i="34"/>
  <c r="L31" i="8"/>
  <c r="K17" i="34"/>
  <c r="K4" i="8"/>
  <c r="E11" i="39"/>
  <c r="L6" i="8"/>
  <c r="K15" i="39"/>
  <c r="K2" i="8"/>
  <c r="E7" i="39"/>
  <c r="K28" i="8"/>
  <c r="E11" i="34"/>
  <c r="L30" i="8"/>
  <c r="K15" i="34"/>
  <c r="K26" i="8"/>
  <c r="E7" i="34"/>
  <c r="L37" i="8"/>
  <c r="K17" i="35"/>
  <c r="L34" i="8"/>
  <c r="K11" i="35"/>
  <c r="K33" i="8"/>
  <c r="E9" i="35"/>
  <c r="L36" i="8"/>
  <c r="K15" i="35"/>
  <c r="K32" i="8"/>
  <c r="E7" i="35"/>
  <c r="K34" i="8"/>
  <c r="E11" i="35"/>
  <c r="L40" i="8"/>
  <c r="K11" i="36"/>
  <c r="K39" i="8"/>
  <c r="E9" i="36"/>
  <c r="L43" i="8"/>
  <c r="K17" i="36"/>
  <c r="K40" i="8"/>
  <c r="E11" i="36"/>
  <c r="L42" i="8"/>
  <c r="K15" i="36"/>
  <c r="K38" i="8"/>
  <c r="E7" i="36"/>
  <c r="L49" i="8"/>
  <c r="K17" i="37"/>
  <c r="L46" i="8"/>
  <c r="K11" i="37"/>
  <c r="K45" i="8"/>
  <c r="E9" i="37"/>
  <c r="L48" i="8"/>
  <c r="K15" i="37"/>
  <c r="K44" i="8"/>
  <c r="E7" i="37"/>
  <c r="K46" i="8"/>
  <c r="E11" i="37"/>
  <c r="K43" i="8"/>
  <c r="E17" i="36"/>
  <c r="L41" i="8"/>
  <c r="K13" i="36"/>
  <c r="L38" i="8"/>
  <c r="K7" i="36"/>
  <c r="K7" i="8"/>
  <c r="E17" i="39"/>
  <c r="L5" i="8"/>
  <c r="K13" i="39"/>
  <c r="L2" i="8"/>
  <c r="K7" i="39"/>
  <c r="K5" i="8"/>
  <c r="E13" i="39"/>
  <c r="L3" i="8"/>
  <c r="K9" i="39"/>
  <c r="K6" i="8"/>
  <c r="E15" i="39"/>
  <c r="L8" i="8"/>
  <c r="K7" i="31"/>
  <c r="K13" i="8"/>
  <c r="E17" i="31"/>
  <c r="L11" i="8"/>
  <c r="K13" i="31"/>
  <c r="K11" i="8"/>
  <c r="E13" i="31"/>
  <c r="L9" i="8"/>
  <c r="K9" i="31"/>
  <c r="K12" i="8"/>
  <c r="E15" i="31"/>
  <c r="K19" i="8"/>
  <c r="E17" i="32"/>
  <c r="L17" i="8"/>
  <c r="K13" i="32"/>
  <c r="L14" i="8"/>
  <c r="K7" i="32"/>
  <c r="K17" i="8"/>
  <c r="E13" i="32"/>
  <c r="L15" i="8"/>
  <c r="K9" i="32"/>
  <c r="K18" i="8"/>
  <c r="E15" i="32"/>
  <c r="L20" i="8"/>
  <c r="K7" i="33"/>
  <c r="K25" i="8"/>
  <c r="E17" i="33"/>
  <c r="L23" i="8"/>
  <c r="K13" i="33"/>
  <c r="K23" i="8"/>
  <c r="E13" i="33"/>
  <c r="L21" i="8"/>
  <c r="K9" i="33"/>
  <c r="K24" i="8"/>
  <c r="E15" i="33"/>
  <c r="K31" i="8"/>
  <c r="E17" i="34"/>
  <c r="L29" i="8"/>
  <c r="K13" i="34"/>
  <c r="L26" i="8"/>
  <c r="K7" i="34"/>
  <c r="K29" i="8"/>
  <c r="E13" i="34"/>
  <c r="L27" i="8"/>
  <c r="K9" i="34"/>
  <c r="K30" i="8"/>
  <c r="E15" i="34"/>
  <c r="L32" i="8"/>
  <c r="K7" i="35"/>
  <c r="K37" i="8"/>
  <c r="E17" i="35"/>
  <c r="L35" i="8"/>
  <c r="K13" i="35"/>
  <c r="K35" i="8"/>
  <c r="E13" i="35"/>
  <c r="L33" i="8"/>
  <c r="K9" i="35"/>
  <c r="K36" i="8"/>
  <c r="E15" i="35"/>
  <c r="L44" i="8"/>
  <c r="K7" i="37"/>
  <c r="K49" i="8"/>
  <c r="E17" i="37"/>
  <c r="L47" i="8"/>
  <c r="K13" i="37"/>
  <c r="K41" i="8"/>
  <c r="E13" i="36"/>
  <c r="L39" i="8"/>
  <c r="K9" i="36"/>
  <c r="K42" i="8"/>
  <c r="E15" i="36"/>
  <c r="L4" i="8"/>
  <c r="K11" i="39"/>
  <c r="K3" i="8"/>
  <c r="E9" i="39"/>
  <c r="L7" i="8"/>
  <c r="K17" i="39"/>
  <c r="K47" i="8"/>
  <c r="E13" i="37"/>
  <c r="L45" i="8"/>
  <c r="K9" i="37"/>
  <c r="K48" i="8"/>
  <c r="E15" i="37"/>
  <c r="F6" i="19"/>
  <c r="B6" i="19"/>
  <c r="F5" i="19"/>
  <c r="B5" i="19"/>
  <c r="F4" i="19"/>
  <c r="B4" i="19"/>
  <c r="F3" i="19"/>
  <c r="B3" i="19"/>
  <c r="D6" i="19"/>
  <c r="D5" i="19"/>
  <c r="D4" i="19"/>
  <c r="C6" i="19"/>
  <c r="C5" i="19"/>
  <c r="C4" i="19"/>
  <c r="C3" i="19"/>
  <c r="I6" i="19"/>
  <c r="E6" i="19"/>
  <c r="I5" i="19"/>
  <c r="E5" i="19"/>
  <c r="I4" i="19"/>
  <c r="E4" i="19"/>
  <c r="I3" i="19"/>
  <c r="E3" i="19"/>
  <c r="H6" i="19"/>
  <c r="H5" i="19"/>
  <c r="H4" i="19"/>
  <c r="H3" i="19"/>
  <c r="D3" i="19"/>
  <c r="G6" i="19"/>
  <c r="G5" i="19"/>
  <c r="G4" i="19"/>
  <c r="G3" i="19"/>
  <c r="R5" i="19"/>
  <c r="R3" i="19"/>
  <c r="K3" i="19"/>
  <c r="M5" i="19"/>
  <c r="M3" i="19"/>
  <c r="L5" i="19"/>
  <c r="L3" i="19"/>
  <c r="K4" i="19"/>
  <c r="AI31" i="34"/>
  <c r="AI32" i="34"/>
  <c r="AI30" i="34"/>
  <c r="AC58" i="34" a="1"/>
  <c r="AI33" i="39"/>
  <c r="AI30" i="39"/>
  <c r="AI31" i="39"/>
  <c r="K5" i="19"/>
  <c r="P5" i="19"/>
  <c r="N4" i="19"/>
  <c r="O5" i="19"/>
  <c r="L4" i="19"/>
  <c r="L6" i="19"/>
  <c r="M4" i="19"/>
  <c r="M6" i="19"/>
  <c r="O6" i="19"/>
  <c r="R4" i="19"/>
  <c r="R6" i="19"/>
  <c r="P3" i="19"/>
  <c r="Q3" i="19"/>
  <c r="Q5" i="19"/>
  <c r="O4" i="19"/>
  <c r="N6" i="19"/>
  <c r="O3" i="19"/>
  <c r="K6" i="19"/>
  <c r="P4" i="19"/>
  <c r="P6" i="19"/>
  <c r="Q4" i="19"/>
  <c r="Q6" i="19"/>
  <c r="N3" i="19"/>
  <c r="AC64" i="39" a="1"/>
  <c r="AI30" i="31"/>
  <c r="AI33" i="31"/>
  <c r="AI31" i="31"/>
  <c r="AI32" i="31"/>
  <c r="AI31" i="32"/>
  <c r="AI30" i="32"/>
  <c r="AI33" i="32"/>
  <c r="AI32" i="32"/>
  <c r="AI32" i="35"/>
  <c r="AI33" i="35"/>
  <c r="AI31" i="35"/>
  <c r="AI30" i="35"/>
  <c r="AI31" i="36"/>
  <c r="AI33" i="36"/>
  <c r="AI32" i="36"/>
  <c r="AI30" i="36"/>
  <c r="AI31" i="33"/>
  <c r="AI30" i="33"/>
  <c r="AI33" i="33"/>
  <c r="AI32" i="33"/>
  <c r="AC52" i="34" a="1"/>
  <c r="AI46" i="34" a="1"/>
  <c r="AC64" i="34" a="1"/>
  <c r="AC46" i="34" a="1"/>
  <c r="AI33" i="37"/>
  <c r="AI32" i="37"/>
  <c r="AI31" i="37"/>
  <c r="AI30" i="37"/>
  <c r="B97" i="19" a="1"/>
  <c r="B106" i="19" a="1"/>
  <c r="H2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AC46" i="39" a="1"/>
  <c r="AC46" i="39"/>
  <c r="AI38" i="39" a="1"/>
  <c r="AI38" i="34" a="1"/>
  <c r="AI46" i="39" a="1"/>
  <c r="AI48" i="39"/>
  <c r="AC58" i="39" a="1"/>
  <c r="AC60" i="39"/>
  <c r="AC52" i="39" a="1"/>
  <c r="AC54" i="39"/>
  <c r="AD45" i="34" a="1"/>
  <c r="AG45" i="34"/>
  <c r="AD45" i="39" a="1"/>
  <c r="AF45" i="39"/>
  <c r="AC64" i="39"/>
  <c r="AC67" i="39"/>
  <c r="AC66" i="39"/>
  <c r="AC65" i="39"/>
  <c r="AI46" i="39"/>
  <c r="AI41" i="39"/>
  <c r="AI40" i="39"/>
  <c r="AI39" i="39"/>
  <c r="AI38" i="39"/>
  <c r="AC58" i="37" a="1"/>
  <c r="AI38" i="37" a="1"/>
  <c r="AC64" i="37" a="1"/>
  <c r="AC46" i="37" a="1"/>
  <c r="AC52" i="37" a="1"/>
  <c r="AI46" i="37" a="1"/>
  <c r="AD45" i="37" a="1"/>
  <c r="AC47" i="34"/>
  <c r="AC46" i="34"/>
  <c r="AC49" i="34"/>
  <c r="AC48" i="34"/>
  <c r="AC65" i="34"/>
  <c r="AC64" i="34"/>
  <c r="AC67" i="34"/>
  <c r="AC66" i="34"/>
  <c r="AI49" i="34"/>
  <c r="AI48" i="34"/>
  <c r="AI47" i="34"/>
  <c r="AI46" i="34"/>
  <c r="AC64" i="33" a="1"/>
  <c r="AC46" i="33" a="1"/>
  <c r="AC52" i="33" a="1"/>
  <c r="AD45" i="33" a="1"/>
  <c r="AC58" i="33" a="1"/>
  <c r="AI38" i="33" a="1"/>
  <c r="AI46" i="33" a="1"/>
  <c r="AC52" i="36" a="1"/>
  <c r="AI46" i="36" a="1"/>
  <c r="AD45" i="36" a="1"/>
  <c r="AC58" i="36" a="1"/>
  <c r="AC64" i="36" a="1"/>
  <c r="AI38" i="36" a="1"/>
  <c r="AC46" i="36" a="1"/>
  <c r="AC64" i="35" a="1"/>
  <c r="AC46" i="35" a="1"/>
  <c r="AC58" i="35" a="1"/>
  <c r="AI46" i="35" a="1"/>
  <c r="AI38" i="35" a="1"/>
  <c r="AC52" i="35" a="1"/>
  <c r="AD45" i="35" a="1"/>
  <c r="AI38" i="34"/>
  <c r="AI41" i="34"/>
  <c r="AI40" i="34"/>
  <c r="AI39" i="34"/>
  <c r="AC55" i="34"/>
  <c r="AC54" i="34"/>
  <c r="AC53" i="34"/>
  <c r="AC52" i="34"/>
  <c r="AC58" i="31" a="1"/>
  <c r="AC64" i="31" a="1"/>
  <c r="AC52" i="31" a="1"/>
  <c r="AI46" i="31" a="1"/>
  <c r="AD45" i="31" a="1"/>
  <c r="AI38" i="31" a="1"/>
  <c r="AC46" i="31" a="1"/>
  <c r="AC58" i="34"/>
  <c r="AC61" i="34"/>
  <c r="AC60" i="34"/>
  <c r="AC59" i="34"/>
  <c r="AC64" i="32" a="1"/>
  <c r="AC46" i="32" a="1"/>
  <c r="AC52" i="32" a="1"/>
  <c r="AI46" i="32" a="1"/>
  <c r="AD45" i="32" a="1"/>
  <c r="AC58" i="32" a="1"/>
  <c r="AI38" i="32" a="1"/>
  <c r="B106" i="19"/>
  <c r="E110" i="19"/>
  <c r="H110" i="19"/>
  <c r="H108" i="19"/>
  <c r="H106" i="19"/>
  <c r="I107" i="19"/>
  <c r="C111" i="19"/>
  <c r="C109" i="19"/>
  <c r="C107" i="19"/>
  <c r="I109" i="19"/>
  <c r="B111" i="19"/>
  <c r="B109" i="19"/>
  <c r="B107" i="19"/>
  <c r="D110" i="19"/>
  <c r="D106" i="19"/>
  <c r="G110" i="19"/>
  <c r="G106" i="19"/>
  <c r="F110" i="19"/>
  <c r="F106" i="19"/>
  <c r="H109" i="19"/>
  <c r="I110" i="19"/>
  <c r="C110" i="19"/>
  <c r="C106" i="19"/>
  <c r="B110" i="19"/>
  <c r="I111" i="19"/>
  <c r="D111" i="19"/>
  <c r="D109" i="19"/>
  <c r="D107" i="19"/>
  <c r="E109" i="19"/>
  <c r="G111" i="19"/>
  <c r="G109" i="19"/>
  <c r="G107" i="19"/>
  <c r="E111" i="19"/>
  <c r="F111" i="19"/>
  <c r="F109" i="19"/>
  <c r="F107" i="19"/>
  <c r="E108" i="19"/>
  <c r="D108" i="19"/>
  <c r="E106" i="19"/>
  <c r="G108" i="19"/>
  <c r="I108" i="19"/>
  <c r="F108" i="19"/>
  <c r="I106" i="19"/>
  <c r="H107" i="19"/>
  <c r="H111" i="19"/>
  <c r="C108" i="19"/>
  <c r="E107" i="19"/>
  <c r="B108" i="19"/>
  <c r="B97" i="19"/>
  <c r="I99" i="19"/>
  <c r="D100" i="19"/>
  <c r="H97" i="19"/>
  <c r="E100" i="19"/>
  <c r="H99" i="19"/>
  <c r="C101" i="19"/>
  <c r="C99" i="19"/>
  <c r="C97" i="19"/>
  <c r="D102" i="19"/>
  <c r="F101" i="19"/>
  <c r="F99" i="19"/>
  <c r="F97" i="19"/>
  <c r="D99" i="19"/>
  <c r="I98" i="19"/>
  <c r="G100" i="19"/>
  <c r="E101" i="19"/>
  <c r="B101" i="19"/>
  <c r="E102" i="19"/>
  <c r="H98" i="19"/>
  <c r="E97" i="19"/>
  <c r="C100" i="19"/>
  <c r="E99" i="19"/>
  <c r="F100" i="19"/>
  <c r="I100" i="19"/>
  <c r="D101" i="19"/>
  <c r="D98" i="19"/>
  <c r="I101" i="19"/>
  <c r="H101" i="19"/>
  <c r="G101" i="19"/>
  <c r="G99" i="19"/>
  <c r="G97" i="19"/>
  <c r="I97" i="19"/>
  <c r="B102" i="19"/>
  <c r="B100" i="19"/>
  <c r="B98" i="19"/>
  <c r="E98" i="19"/>
  <c r="D97" i="19"/>
  <c r="G102" i="19"/>
  <c r="G98" i="19"/>
  <c r="H100" i="19"/>
  <c r="B99" i="19"/>
  <c r="H102" i="19"/>
  <c r="I102" i="19"/>
  <c r="C102" i="19"/>
  <c r="C98" i="19"/>
  <c r="F102" i="19"/>
  <c r="F98" i="19"/>
  <c r="AE45" i="34"/>
  <c r="AF45" i="34"/>
  <c r="AC61" i="39"/>
  <c r="AC53" i="39"/>
  <c r="AC47" i="39"/>
  <c r="AI49" i="39"/>
  <c r="AC48" i="39"/>
  <c r="AC49" i="39"/>
  <c r="AI47" i="39"/>
  <c r="AC55" i="39"/>
  <c r="AD45" i="34"/>
  <c r="AC52" i="39"/>
  <c r="AC58" i="39"/>
  <c r="AC59" i="39"/>
  <c r="AG45" i="39"/>
  <c r="AD45" i="39"/>
  <c r="AE45" i="39"/>
  <c r="AD36" i="39" a="1"/>
  <c r="AC30" i="39" a="1"/>
  <c r="AC36" i="39" a="1"/>
  <c r="AD30" i="39" a="1"/>
  <c r="AD63" i="39" a="1"/>
  <c r="AD63" i="34" a="1"/>
  <c r="AG63" i="34"/>
  <c r="AC67" i="32"/>
  <c r="AC66" i="32"/>
  <c r="AC65" i="32"/>
  <c r="AC64" i="32"/>
  <c r="AD57" i="34" a="1"/>
  <c r="AI46" i="31"/>
  <c r="AI49" i="31"/>
  <c r="AI48" i="31"/>
  <c r="AI47" i="31"/>
  <c r="AD51" i="34" a="1"/>
  <c r="AE45" i="35"/>
  <c r="AF45" i="35"/>
  <c r="AG45" i="35"/>
  <c r="AD45" i="35"/>
  <c r="AC60" i="35"/>
  <c r="AC59" i="35"/>
  <c r="AC61" i="35"/>
  <c r="AC58" i="35"/>
  <c r="AI39" i="36"/>
  <c r="AI41" i="36"/>
  <c r="AI40" i="36"/>
  <c r="AI38" i="36"/>
  <c r="AI46" i="36"/>
  <c r="AI49" i="36"/>
  <c r="AI48" i="36"/>
  <c r="AI47" i="36"/>
  <c r="AC59" i="33"/>
  <c r="AC60" i="33"/>
  <c r="AC58" i="33"/>
  <c r="AC61" i="33"/>
  <c r="AC66" i="33"/>
  <c r="AC67" i="33"/>
  <c r="AC65" i="33"/>
  <c r="AC64" i="33"/>
  <c r="AC46" i="37"/>
  <c r="AC49" i="37"/>
  <c r="AC48" i="37"/>
  <c r="AC47" i="37"/>
  <c r="AE45" i="32"/>
  <c r="AD45" i="32"/>
  <c r="AG45" i="32"/>
  <c r="AF45" i="32"/>
  <c r="AD36" i="32" a="1"/>
  <c r="AC30" i="32" a="1"/>
  <c r="AI47" i="32"/>
  <c r="AI46" i="32"/>
  <c r="AI49" i="32"/>
  <c r="AI48" i="32"/>
  <c r="AC48" i="31"/>
  <c r="AC47" i="31"/>
  <c r="AC46" i="31"/>
  <c r="AC49" i="31"/>
  <c r="AC52" i="31"/>
  <c r="AC55" i="31"/>
  <c r="AC54" i="31"/>
  <c r="AC53" i="31"/>
  <c r="AC53" i="35"/>
  <c r="AC54" i="35"/>
  <c r="AC55" i="35"/>
  <c r="AC52" i="35"/>
  <c r="AC49" i="35"/>
  <c r="AC46" i="35"/>
  <c r="AC48" i="35"/>
  <c r="AC47" i="35"/>
  <c r="AC66" i="36"/>
  <c r="AC65" i="36"/>
  <c r="AC64" i="36"/>
  <c r="AC67" i="36"/>
  <c r="AC52" i="36"/>
  <c r="AC55" i="36"/>
  <c r="AC54" i="36"/>
  <c r="AC53" i="36"/>
  <c r="AE45" i="33"/>
  <c r="AG45" i="33"/>
  <c r="AF45" i="33"/>
  <c r="AD45" i="33"/>
  <c r="AF45" i="37"/>
  <c r="AE45" i="37"/>
  <c r="AD45" i="37"/>
  <c r="AG45" i="37"/>
  <c r="AC64" i="37"/>
  <c r="AC67" i="37"/>
  <c r="AC66" i="37"/>
  <c r="AC65" i="37"/>
  <c r="AC60" i="32"/>
  <c r="AC59" i="32"/>
  <c r="AC58" i="32"/>
  <c r="AC61" i="32"/>
  <c r="AC49" i="32"/>
  <c r="AC48" i="32"/>
  <c r="AC47" i="32"/>
  <c r="AC46" i="32"/>
  <c r="AC36" i="37" a="1"/>
  <c r="AD30" i="37" a="1"/>
  <c r="AD30" i="33" a="1"/>
  <c r="AC36" i="33" a="1"/>
  <c r="AD30" i="31" a="1"/>
  <c r="AC36" i="31" a="1"/>
  <c r="AD30" i="34" a="1"/>
  <c r="AC36" i="34" a="1"/>
  <c r="AC36" i="32" a="1"/>
  <c r="AD30" i="32" a="1"/>
  <c r="AD36" i="37" a="1"/>
  <c r="AC30" i="37" a="1"/>
  <c r="AD36" i="33" a="1"/>
  <c r="AC30" i="33" a="1"/>
  <c r="AD36" i="34" a="1"/>
  <c r="AC30" i="34" a="1"/>
  <c r="AD36" i="31" a="1"/>
  <c r="AC30" i="31" a="1"/>
  <c r="AC36" i="35" a="1"/>
  <c r="AD30" i="35" a="1"/>
  <c r="AC36" i="36" a="1"/>
  <c r="AD30" i="36" a="1"/>
  <c r="AI40" i="32"/>
  <c r="AI39" i="32"/>
  <c r="AI38" i="32"/>
  <c r="AI41" i="32"/>
  <c r="AC53" i="32"/>
  <c r="AC52" i="32"/>
  <c r="AC55" i="32"/>
  <c r="AC54" i="32"/>
  <c r="AI39" i="31"/>
  <c r="AI38" i="31"/>
  <c r="AI41" i="31"/>
  <c r="AI40" i="31"/>
  <c r="AC64" i="31"/>
  <c r="AC67" i="31"/>
  <c r="AC66" i="31"/>
  <c r="AC65" i="31"/>
  <c r="AI40" i="35"/>
  <c r="AI41" i="35"/>
  <c r="AI39" i="35"/>
  <c r="AI38" i="35"/>
  <c r="AC67" i="35"/>
  <c r="AC66" i="35"/>
  <c r="AC64" i="35"/>
  <c r="AC65" i="35"/>
  <c r="AC59" i="36"/>
  <c r="AC58" i="36"/>
  <c r="AC61" i="36"/>
  <c r="AC60" i="36"/>
  <c r="AI47" i="33"/>
  <c r="AI49" i="33"/>
  <c r="AI48" i="33"/>
  <c r="AI46" i="33"/>
  <c r="AC53" i="33"/>
  <c r="AC55" i="33"/>
  <c r="AC54" i="33"/>
  <c r="AC52" i="33"/>
  <c r="AI48" i="37"/>
  <c r="AI47" i="37"/>
  <c r="AI46" i="37"/>
  <c r="AI49" i="37"/>
  <c r="AI41" i="37"/>
  <c r="AI40" i="37"/>
  <c r="AI39" i="37"/>
  <c r="AI38" i="37"/>
  <c r="AC30" i="35" a="1"/>
  <c r="AD36" i="35" a="1"/>
  <c r="AD36" i="36" a="1"/>
  <c r="AC30" i="36" a="1"/>
  <c r="AD45" i="31"/>
  <c r="AG45" i="31"/>
  <c r="AF45" i="31"/>
  <c r="AE45" i="31"/>
  <c r="AC61" i="31"/>
  <c r="AC58" i="31"/>
  <c r="AC60" i="31"/>
  <c r="AC59" i="31"/>
  <c r="AI47" i="35"/>
  <c r="AI48" i="35"/>
  <c r="AI49" i="35"/>
  <c r="AI46" i="35"/>
  <c r="AC48" i="36"/>
  <c r="AC47" i="36"/>
  <c r="AC46" i="36"/>
  <c r="AC49" i="36"/>
  <c r="AD45" i="36"/>
  <c r="AG45" i="36"/>
  <c r="AF45" i="36"/>
  <c r="AE45" i="36"/>
  <c r="AI39" i="33"/>
  <c r="AI38" i="33"/>
  <c r="AI41" i="33"/>
  <c r="AI40" i="33"/>
  <c r="AC49" i="33"/>
  <c r="AC48" i="33"/>
  <c r="AC47" i="33"/>
  <c r="AC46" i="33"/>
  <c r="AC54" i="37"/>
  <c r="AC53" i="37"/>
  <c r="AC52" i="37"/>
  <c r="AC55" i="37"/>
  <c r="AC61" i="37"/>
  <c r="AC60" i="37"/>
  <c r="AC59" i="37"/>
  <c r="AC58" i="37"/>
  <c r="AD51" i="39" a="1"/>
  <c r="AE51" i="39"/>
  <c r="AD57" i="39" a="1"/>
  <c r="AD57" i="39"/>
  <c r="AD63" i="34"/>
  <c r="AE63" i="34"/>
  <c r="AD63" i="32" a="1"/>
  <c r="AG63" i="32"/>
  <c r="AC39" i="39"/>
  <c r="AC38" i="39"/>
  <c r="AC41" i="39"/>
  <c r="AC37" i="39"/>
  <c r="AC40" i="39"/>
  <c r="AC36" i="39"/>
  <c r="AF63" i="34"/>
  <c r="AE63" i="39"/>
  <c r="AD63" i="39"/>
  <c r="AG63" i="39"/>
  <c r="AF63" i="39"/>
  <c r="AC34" i="39"/>
  <c r="AC30" i="39"/>
  <c r="AC33" i="39"/>
  <c r="AC32" i="39"/>
  <c r="AC35" i="39"/>
  <c r="AC31" i="39"/>
  <c r="AD35" i="39"/>
  <c r="AD31" i="39"/>
  <c r="AD34" i="39"/>
  <c r="AD30" i="39"/>
  <c r="AD33" i="39"/>
  <c r="AD32" i="39"/>
  <c r="AD57" i="37" a="1"/>
  <c r="AG57" i="37"/>
  <c r="AD51" i="33" a="1"/>
  <c r="AE51" i="33"/>
  <c r="AD63" i="33" a="1"/>
  <c r="AF63" i="33"/>
  <c r="AD57" i="35" a="1"/>
  <c r="AD57" i="35"/>
  <c r="AG51" i="39"/>
  <c r="AD40" i="39"/>
  <c r="AD36" i="39"/>
  <c r="AD39" i="39"/>
  <c r="AD38" i="39"/>
  <c r="AD41" i="39"/>
  <c r="AD37" i="39"/>
  <c r="AD35" i="35"/>
  <c r="AD31" i="35"/>
  <c r="AD33" i="35"/>
  <c r="AD32" i="35"/>
  <c r="AD30" i="35"/>
  <c r="AD34" i="35"/>
  <c r="AC32" i="31"/>
  <c r="AC35" i="31"/>
  <c r="AC31" i="31"/>
  <c r="AC34" i="31"/>
  <c r="AC30" i="31"/>
  <c r="AC33" i="31"/>
  <c r="AC33" i="33"/>
  <c r="AC32" i="33"/>
  <c r="AC35" i="33"/>
  <c r="AC31" i="33"/>
  <c r="AC34" i="33"/>
  <c r="AC30" i="33"/>
  <c r="AD34" i="32"/>
  <c r="AD30" i="32"/>
  <c r="AD33" i="32"/>
  <c r="AD32" i="32"/>
  <c r="AD31" i="32"/>
  <c r="AD35" i="32"/>
  <c r="AC38" i="31"/>
  <c r="AC41" i="31"/>
  <c r="AC37" i="31"/>
  <c r="AC40" i="31"/>
  <c r="AC36" i="31"/>
  <c r="AC39" i="31"/>
  <c r="AD35" i="37"/>
  <c r="AD31" i="37"/>
  <c r="AD34" i="37"/>
  <c r="AD30" i="37"/>
  <c r="AD33" i="37"/>
  <c r="AD32" i="37"/>
  <c r="AD51" i="37" a="1"/>
  <c r="AD39" i="36"/>
  <c r="AD38" i="36"/>
  <c r="AD37" i="36"/>
  <c r="AD41" i="36"/>
  <c r="AD36" i="36"/>
  <c r="AD40" i="36"/>
  <c r="AD63" i="35" a="1"/>
  <c r="AC39" i="35"/>
  <c r="AC40" i="35"/>
  <c r="AC38" i="35"/>
  <c r="AC37" i="35"/>
  <c r="AC41" i="35"/>
  <c r="AC36" i="35"/>
  <c r="AD39" i="31"/>
  <c r="AD38" i="31"/>
  <c r="AD41" i="31"/>
  <c r="AD37" i="31"/>
  <c r="AD40" i="31"/>
  <c r="AD36" i="31"/>
  <c r="AD39" i="33"/>
  <c r="AD38" i="33"/>
  <c r="AD41" i="33"/>
  <c r="AD37" i="33"/>
  <c r="AD40" i="33"/>
  <c r="AD36" i="33"/>
  <c r="AC39" i="32"/>
  <c r="AC38" i="32"/>
  <c r="AC41" i="32"/>
  <c r="AC37" i="32"/>
  <c r="AC40" i="32"/>
  <c r="AC36" i="32"/>
  <c r="AD33" i="31"/>
  <c r="AD32" i="31"/>
  <c r="AD35" i="31"/>
  <c r="AD31" i="31"/>
  <c r="AD34" i="31"/>
  <c r="AD30" i="31"/>
  <c r="AC40" i="37"/>
  <c r="AC36" i="37"/>
  <c r="AC39" i="37"/>
  <c r="AC38" i="37"/>
  <c r="AC41" i="37"/>
  <c r="AC37" i="37"/>
  <c r="AD63" i="37" a="1"/>
  <c r="AD51" i="36" a="1"/>
  <c r="AD51" i="31" a="1"/>
  <c r="AD57" i="33" a="1"/>
  <c r="AD51" i="34"/>
  <c r="AG51" i="34"/>
  <c r="AF51" i="34"/>
  <c r="AE51" i="34"/>
  <c r="AC33" i="36"/>
  <c r="AC35" i="36"/>
  <c r="AC30" i="36"/>
  <c r="AC34" i="36"/>
  <c r="AC32" i="36"/>
  <c r="AC31" i="36"/>
  <c r="AD57" i="31" a="1"/>
  <c r="AD40" i="35"/>
  <c r="AD36" i="35"/>
  <c r="AD38" i="35"/>
  <c r="AD37" i="35"/>
  <c r="AD41" i="35"/>
  <c r="AD39" i="35"/>
  <c r="AD57" i="36" a="1"/>
  <c r="AD51" i="32" a="1"/>
  <c r="AD34" i="36"/>
  <c r="AD30" i="36"/>
  <c r="AD33" i="36"/>
  <c r="AD32" i="36"/>
  <c r="AD31" i="36"/>
  <c r="AD35" i="36"/>
  <c r="AC32" i="34"/>
  <c r="AC34" i="34"/>
  <c r="AC30" i="34"/>
  <c r="AC33" i="34"/>
  <c r="AC35" i="34"/>
  <c r="AC31" i="34"/>
  <c r="AC34" i="37"/>
  <c r="AC30" i="37"/>
  <c r="AC33" i="37"/>
  <c r="AC35" i="37"/>
  <c r="AC32" i="37"/>
  <c r="AC31" i="37"/>
  <c r="AC41" i="34"/>
  <c r="AC37" i="34"/>
  <c r="AC40" i="34"/>
  <c r="AC36" i="34"/>
  <c r="AC39" i="34"/>
  <c r="AC38" i="34"/>
  <c r="AC38" i="33"/>
  <c r="AC41" i="33"/>
  <c r="AC37" i="33"/>
  <c r="AC40" i="33"/>
  <c r="AC36" i="33"/>
  <c r="AC39" i="33"/>
  <c r="AD51" i="35" a="1"/>
  <c r="AC33" i="32"/>
  <c r="AC32" i="32"/>
  <c r="AC35" i="32"/>
  <c r="AC31" i="32"/>
  <c r="AC34" i="32"/>
  <c r="AC30" i="32"/>
  <c r="AC34" i="35"/>
  <c r="AC30" i="35"/>
  <c r="AC35" i="35"/>
  <c r="AC33" i="35"/>
  <c r="AC32" i="35"/>
  <c r="AC31" i="35"/>
  <c r="AD63" i="31" a="1"/>
  <c r="AC38" i="36"/>
  <c r="AC40" i="36"/>
  <c r="AC39" i="36"/>
  <c r="AC37" i="36"/>
  <c r="AC41" i="36"/>
  <c r="AC36" i="36"/>
  <c r="AD38" i="34"/>
  <c r="AD41" i="34"/>
  <c r="AD37" i="34"/>
  <c r="AD40" i="34"/>
  <c r="AD36" i="34"/>
  <c r="AD39" i="34"/>
  <c r="AD41" i="37"/>
  <c r="AD37" i="37"/>
  <c r="AD40" i="37"/>
  <c r="AD36" i="37"/>
  <c r="AD39" i="37"/>
  <c r="AD38" i="37"/>
  <c r="AD33" i="34"/>
  <c r="AD35" i="34"/>
  <c r="AD31" i="34"/>
  <c r="AD34" i="34"/>
  <c r="AD30" i="34"/>
  <c r="AD32" i="34"/>
  <c r="AD34" i="33"/>
  <c r="AD30" i="33"/>
  <c r="AD33" i="33"/>
  <c r="AD32" i="33"/>
  <c r="AD35" i="33"/>
  <c r="AD31" i="33"/>
  <c r="AD57" i="32" a="1"/>
  <c r="AD63" i="36" a="1"/>
  <c r="AD40" i="32"/>
  <c r="AD36" i="32"/>
  <c r="AD39" i="32"/>
  <c r="AD38" i="32"/>
  <c r="AD41" i="32"/>
  <c r="AD37" i="32"/>
  <c r="AE57" i="34"/>
  <c r="AD57" i="34"/>
  <c r="AG57" i="34"/>
  <c r="AF57" i="34"/>
  <c r="AF51" i="39"/>
  <c r="AD51" i="39"/>
  <c r="AG57" i="39"/>
  <c r="AF57" i="39"/>
  <c r="AE57" i="39"/>
  <c r="AD63" i="32"/>
  <c r="AD51" i="33"/>
  <c r="AD63" i="33"/>
  <c r="AF63" i="32"/>
  <c r="AG51" i="33"/>
  <c r="AE63" i="32"/>
  <c r="AF51" i="33"/>
  <c r="AF57" i="37"/>
  <c r="AD57" i="37"/>
  <c r="AE57" i="37"/>
  <c r="AF57" i="35"/>
  <c r="AG57" i="35"/>
  <c r="AG63" i="33"/>
  <c r="AE57" i="35"/>
  <c r="AE63" i="33"/>
  <c r="AF30" i="39" a="1"/>
  <c r="AF30" i="35" a="1"/>
  <c r="AF41" i="35"/>
  <c r="AF51" i="35"/>
  <c r="AG51" i="35"/>
  <c r="AD51" i="35"/>
  <c r="AE51" i="35"/>
  <c r="AF57" i="33"/>
  <c r="AG57" i="33"/>
  <c r="AE57" i="33"/>
  <c r="AD57" i="33"/>
  <c r="AF30" i="33" a="1"/>
  <c r="AF30" i="37" a="1"/>
  <c r="AF51" i="32"/>
  <c r="AE51" i="32"/>
  <c r="AD51" i="32"/>
  <c r="AG51" i="32"/>
  <c r="AD57" i="31"/>
  <c r="AG57" i="31"/>
  <c r="AF57" i="31"/>
  <c r="AE57" i="31"/>
  <c r="AF30" i="36" a="1"/>
  <c r="AE51" i="31"/>
  <c r="AD51" i="31"/>
  <c r="AG51" i="31"/>
  <c r="AF51" i="31"/>
  <c r="AG51" i="37"/>
  <c r="AF51" i="37"/>
  <c r="AE51" i="37"/>
  <c r="AD51" i="37"/>
  <c r="AG63" i="36"/>
  <c r="AF63" i="36"/>
  <c r="AE63" i="36"/>
  <c r="AD63" i="36"/>
  <c r="AF30" i="32" a="1"/>
  <c r="AF30" i="34" a="1"/>
  <c r="AF57" i="36"/>
  <c r="AE57" i="36"/>
  <c r="AD57" i="36"/>
  <c r="AG57" i="36"/>
  <c r="AE51" i="36"/>
  <c r="AD51" i="36"/>
  <c r="AG51" i="36"/>
  <c r="AF51" i="36"/>
  <c r="AD63" i="35"/>
  <c r="AG63" i="35"/>
  <c r="AE63" i="35"/>
  <c r="AF63" i="35"/>
  <c r="AG57" i="32"/>
  <c r="AF57" i="32"/>
  <c r="AE57" i="32"/>
  <c r="AD57" i="32"/>
  <c r="AE63" i="31"/>
  <c r="AG63" i="31"/>
  <c r="AF63" i="31"/>
  <c r="AD63" i="31"/>
  <c r="AE63" i="37"/>
  <c r="AD63" i="37"/>
  <c r="AG63" i="37"/>
  <c r="AF63" i="37"/>
  <c r="AF30" i="31" a="1"/>
  <c r="AF34" i="35"/>
  <c r="AF36" i="35"/>
  <c r="AF40" i="35"/>
  <c r="AF31" i="35"/>
  <c r="AF33" i="35"/>
  <c r="AF39" i="35"/>
  <c r="AF41" i="39"/>
  <c r="AF37" i="39"/>
  <c r="AF33" i="39"/>
  <c r="AF40" i="39"/>
  <c r="AF36" i="39"/>
  <c r="AF32" i="39"/>
  <c r="AF39" i="39"/>
  <c r="AF35" i="39"/>
  <c r="AF31" i="39"/>
  <c r="AF38" i="39"/>
  <c r="AF34" i="39"/>
  <c r="AF30" i="39"/>
  <c r="AD46" i="39" a="1"/>
  <c r="AF32" i="35"/>
  <c r="AF30" i="35"/>
  <c r="AF37" i="35"/>
  <c r="AF38" i="35"/>
  <c r="AD46" i="35" a="1"/>
  <c r="AF35" i="35"/>
  <c r="AF40" i="36"/>
  <c r="AF36" i="36"/>
  <c r="AF32" i="36"/>
  <c r="AF41" i="36"/>
  <c r="AF35" i="36"/>
  <c r="AF30" i="36"/>
  <c r="AF39" i="36"/>
  <c r="AF34" i="36"/>
  <c r="AF38" i="36"/>
  <c r="AF33" i="36"/>
  <c r="AF37" i="36"/>
  <c r="AF31" i="36"/>
  <c r="AF39" i="31"/>
  <c r="AF35" i="31"/>
  <c r="AF31" i="31"/>
  <c r="AF38" i="31"/>
  <c r="AF34" i="31"/>
  <c r="AF30" i="31"/>
  <c r="AF41" i="31"/>
  <c r="AF37" i="31"/>
  <c r="AF33" i="31"/>
  <c r="AF40" i="31"/>
  <c r="AF36" i="31"/>
  <c r="AF32" i="31"/>
  <c r="AF41" i="37"/>
  <c r="AF37" i="37"/>
  <c r="AF33" i="37"/>
  <c r="AF40" i="37"/>
  <c r="AF36" i="37"/>
  <c r="AF32" i="37"/>
  <c r="AF39" i="37"/>
  <c r="AF31" i="37"/>
  <c r="AF38" i="37"/>
  <c r="AF30" i="37"/>
  <c r="AF35" i="37"/>
  <c r="AF34" i="37"/>
  <c r="AF39" i="34"/>
  <c r="AF35" i="34"/>
  <c r="AF31" i="34"/>
  <c r="AF41" i="34"/>
  <c r="AF37" i="34"/>
  <c r="AF33" i="34"/>
  <c r="AF40" i="34"/>
  <c r="AF36" i="34"/>
  <c r="AF32" i="34"/>
  <c r="AF38" i="34"/>
  <c r="AF34" i="34"/>
  <c r="AF30" i="34"/>
  <c r="AF40" i="33"/>
  <c r="AF36" i="33"/>
  <c r="AF32" i="33"/>
  <c r="AF39" i="33"/>
  <c r="AF35" i="33"/>
  <c r="AF31" i="33"/>
  <c r="AF38" i="33"/>
  <c r="AF34" i="33"/>
  <c r="AF30" i="33"/>
  <c r="AF41" i="33"/>
  <c r="AF37" i="33"/>
  <c r="AF33" i="33"/>
  <c r="AF40" i="32"/>
  <c r="AF36" i="32"/>
  <c r="AF32" i="32"/>
  <c r="AF39" i="32"/>
  <c r="AF35" i="32"/>
  <c r="AF31" i="32"/>
  <c r="AF38" i="32"/>
  <c r="AF34" i="32"/>
  <c r="AF30" i="32"/>
  <c r="AF41" i="32"/>
  <c r="AF37" i="32"/>
  <c r="AF33" i="32"/>
  <c r="AD46" i="37" a="1"/>
  <c r="AG49" i="37"/>
  <c r="AG49" i="39"/>
  <c r="AG48" i="39"/>
  <c r="AG47" i="39"/>
  <c r="AG46" i="39"/>
  <c r="AF49" i="39"/>
  <c r="AF48" i="39"/>
  <c r="AF47" i="39"/>
  <c r="AF46" i="39"/>
  <c r="AE49" i="39"/>
  <c r="AE48" i="39"/>
  <c r="AE47" i="39"/>
  <c r="AE46" i="39"/>
  <c r="AD49" i="39"/>
  <c r="AD48" i="39"/>
  <c r="AD47" i="39"/>
  <c r="AD46" i="39"/>
  <c r="AD52" i="39" a="1"/>
  <c r="AD46" i="34" a="1"/>
  <c r="AD46" i="31" a="1"/>
  <c r="AD46" i="36" a="1"/>
  <c r="AD46" i="32" a="1"/>
  <c r="AD46" i="33" a="1"/>
  <c r="AF49" i="35"/>
  <c r="AF48" i="35"/>
  <c r="AF47" i="35"/>
  <c r="AF46" i="35"/>
  <c r="AG49" i="35"/>
  <c r="AG48" i="35"/>
  <c r="AG47" i="35"/>
  <c r="AG46" i="35"/>
  <c r="AD48" i="35"/>
  <c r="AD46" i="35"/>
  <c r="AE49" i="35"/>
  <c r="AE47" i="35"/>
  <c r="AD49" i="35"/>
  <c r="AD47" i="35"/>
  <c r="AE48" i="35"/>
  <c r="AE46" i="35"/>
  <c r="AD48" i="37"/>
  <c r="AD49" i="37"/>
  <c r="AE47" i="37"/>
  <c r="AF46" i="37"/>
  <c r="AF47" i="37"/>
  <c r="AF48" i="37"/>
  <c r="AD46" i="37"/>
  <c r="AF49" i="37"/>
  <c r="AD47" i="37"/>
  <c r="AG47" i="37"/>
  <c r="AE46" i="37"/>
  <c r="AG46" i="37"/>
  <c r="AE48" i="37"/>
  <c r="AG48" i="37"/>
  <c r="AE49" i="37"/>
  <c r="AE55" i="39"/>
  <c r="AE54" i="39"/>
  <c r="AE53" i="39"/>
  <c r="AE52" i="39"/>
  <c r="AD55" i="39"/>
  <c r="AD54" i="39"/>
  <c r="AD53" i="39"/>
  <c r="AD52" i="39"/>
  <c r="AG55" i="39"/>
  <c r="AG54" i="39"/>
  <c r="AG53" i="39"/>
  <c r="AG52" i="39"/>
  <c r="AF55" i="39"/>
  <c r="AF54" i="39"/>
  <c r="AF53" i="39"/>
  <c r="AF52" i="39"/>
  <c r="AD52" i="37" a="1"/>
  <c r="AE49" i="36"/>
  <c r="AE48" i="36"/>
  <c r="AE47" i="36"/>
  <c r="AE46" i="36"/>
  <c r="AD49" i="36"/>
  <c r="AD48" i="36"/>
  <c r="AD47" i="36"/>
  <c r="AD46" i="36"/>
  <c r="AG49" i="36"/>
  <c r="AG48" i="36"/>
  <c r="AG47" i="36"/>
  <c r="AG46" i="36"/>
  <c r="AF49" i="36"/>
  <c r="AF48" i="36"/>
  <c r="AF47" i="36"/>
  <c r="AF46" i="36"/>
  <c r="AD52" i="35" a="1"/>
  <c r="AE49" i="31"/>
  <c r="AE48" i="31"/>
  <c r="AE47" i="31"/>
  <c r="AE46" i="31"/>
  <c r="AD49" i="31"/>
  <c r="AD48" i="31"/>
  <c r="AD47" i="31"/>
  <c r="AD46" i="31"/>
  <c r="AG49" i="31"/>
  <c r="AG48" i="31"/>
  <c r="AG47" i="31"/>
  <c r="AG46" i="31"/>
  <c r="AF49" i="31"/>
  <c r="AF48" i="31"/>
  <c r="AF47" i="31"/>
  <c r="AF46" i="31"/>
  <c r="AF49" i="33"/>
  <c r="AF48" i="33"/>
  <c r="AF47" i="33"/>
  <c r="AF46" i="33"/>
  <c r="AG49" i="33"/>
  <c r="AE48" i="33"/>
  <c r="AD47" i="33"/>
  <c r="AE49" i="33"/>
  <c r="AD48" i="33"/>
  <c r="AG46" i="33"/>
  <c r="AD49" i="33"/>
  <c r="AG47" i="33"/>
  <c r="AE46" i="33"/>
  <c r="AG48" i="33"/>
  <c r="AE47" i="33"/>
  <c r="AD46" i="33"/>
  <c r="AD49" i="34"/>
  <c r="AD48" i="34"/>
  <c r="AD47" i="34"/>
  <c r="AD46" i="34"/>
  <c r="AG49" i="34"/>
  <c r="AG48" i="34"/>
  <c r="AG47" i="34"/>
  <c r="AG46" i="34"/>
  <c r="AF49" i="34"/>
  <c r="AF48" i="34"/>
  <c r="AF47" i="34"/>
  <c r="AF46" i="34"/>
  <c r="AE49" i="34"/>
  <c r="AE48" i="34"/>
  <c r="AE47" i="34"/>
  <c r="AE46" i="34"/>
  <c r="AF49" i="32"/>
  <c r="AF48" i="32"/>
  <c r="AF47" i="32"/>
  <c r="AF46" i="32"/>
  <c r="AE49" i="32"/>
  <c r="AE48" i="32"/>
  <c r="AE47" i="32"/>
  <c r="AE46" i="32"/>
  <c r="AD49" i="32"/>
  <c r="AD48" i="32"/>
  <c r="AD47" i="32"/>
  <c r="AD46" i="32"/>
  <c r="AG49" i="32"/>
  <c r="AG48" i="32"/>
  <c r="AG47" i="32"/>
  <c r="AG46" i="32"/>
  <c r="AD52" i="33" a="1"/>
  <c r="AD52" i="33"/>
  <c r="AD52" i="36" a="1"/>
  <c r="AG55" i="36"/>
  <c r="AD58" i="39" a="1"/>
  <c r="AJ38" i="39" a="1"/>
  <c r="AD55" i="33"/>
  <c r="AD54" i="33"/>
  <c r="AD53" i="33"/>
  <c r="AF54" i="33"/>
  <c r="AE53" i="33"/>
  <c r="AF55" i="33"/>
  <c r="AG53" i="33"/>
  <c r="AF52" i="33"/>
  <c r="AF53" i="33"/>
  <c r="AE52" i="33"/>
  <c r="AG54" i="36"/>
  <c r="AG53" i="36"/>
  <c r="AG52" i="36"/>
  <c r="AF54" i="36"/>
  <c r="AF53" i="36"/>
  <c r="AF52" i="36"/>
  <c r="AE54" i="36"/>
  <c r="AE53" i="36"/>
  <c r="AE52" i="36"/>
  <c r="AD53" i="36"/>
  <c r="AD52" i="36"/>
  <c r="AD55" i="36"/>
  <c r="AD54" i="36"/>
  <c r="AD52" i="32" a="1"/>
  <c r="AD52" i="31" a="1"/>
  <c r="AD55" i="35"/>
  <c r="AD54" i="35"/>
  <c r="AD53" i="35"/>
  <c r="AD52" i="35"/>
  <c r="AE55" i="35"/>
  <c r="AE54" i="35"/>
  <c r="AE53" i="35"/>
  <c r="AE52" i="35"/>
  <c r="AF55" i="35"/>
  <c r="AF53" i="35"/>
  <c r="AG54" i="35"/>
  <c r="AG52" i="35"/>
  <c r="AF54" i="35"/>
  <c r="AF52" i="35"/>
  <c r="AG55" i="35"/>
  <c r="AG53" i="35"/>
  <c r="AD52" i="34" a="1"/>
  <c r="AE55" i="37"/>
  <c r="AE54" i="37"/>
  <c r="AE53" i="37"/>
  <c r="AE52" i="37"/>
  <c r="AD55" i="37"/>
  <c r="AD54" i="37"/>
  <c r="AD53" i="37"/>
  <c r="AD52" i="37"/>
  <c r="AG55" i="37"/>
  <c r="AG54" i="37"/>
  <c r="AG53" i="37"/>
  <c r="AG52" i="37"/>
  <c r="AF55" i="37"/>
  <c r="AF54" i="37"/>
  <c r="AF53" i="37"/>
  <c r="AF52" i="37"/>
  <c r="AG52" i="33"/>
  <c r="AG54" i="33"/>
  <c r="AE54" i="33"/>
  <c r="AG55" i="33"/>
  <c r="AE55" i="33"/>
  <c r="AE55" i="36"/>
  <c r="AF55" i="36"/>
  <c r="AJ38" i="36" a="1"/>
  <c r="AJ40" i="39"/>
  <c r="AJ39" i="39"/>
  <c r="AJ38" i="39"/>
  <c r="AJ41" i="39"/>
  <c r="AF61" i="39"/>
  <c r="AF60" i="39"/>
  <c r="AF59" i="39"/>
  <c r="AF58" i="39"/>
  <c r="AE61" i="39"/>
  <c r="AE60" i="39"/>
  <c r="AE59" i="39"/>
  <c r="AE58" i="39"/>
  <c r="AD61" i="39"/>
  <c r="AD60" i="39"/>
  <c r="AD59" i="39"/>
  <c r="AD58" i="39"/>
  <c r="AG61" i="39"/>
  <c r="AG60" i="39"/>
  <c r="AG59" i="39"/>
  <c r="AG58" i="39"/>
  <c r="AD58" i="37" a="1"/>
  <c r="AJ38" i="37" a="1"/>
  <c r="AF55" i="34"/>
  <c r="AF54" i="34"/>
  <c r="AF53" i="34"/>
  <c r="AF52" i="34"/>
  <c r="AE55" i="34"/>
  <c r="AE54" i="34"/>
  <c r="AE53" i="34"/>
  <c r="AE52" i="34"/>
  <c r="AD55" i="34"/>
  <c r="AD54" i="34"/>
  <c r="AD53" i="34"/>
  <c r="AD52" i="34"/>
  <c r="AG55" i="34"/>
  <c r="AG54" i="34"/>
  <c r="AG53" i="34"/>
  <c r="AG52" i="34"/>
  <c r="AG55" i="31"/>
  <c r="AG54" i="31"/>
  <c r="AG53" i="31"/>
  <c r="AG52" i="31"/>
  <c r="AF55" i="31"/>
  <c r="AF54" i="31"/>
  <c r="AF53" i="31"/>
  <c r="AF52" i="31"/>
  <c r="AE55" i="31"/>
  <c r="AE54" i="31"/>
  <c r="AE53" i="31"/>
  <c r="AE52" i="31"/>
  <c r="AD55" i="31"/>
  <c r="AD54" i="31"/>
  <c r="AD53" i="31"/>
  <c r="AD52" i="31"/>
  <c r="AD58" i="35" a="1"/>
  <c r="AJ38" i="35" a="1"/>
  <c r="AD55" i="32"/>
  <c r="AD54" i="32"/>
  <c r="AD53" i="32"/>
  <c r="AD52" i="32"/>
  <c r="AG55" i="32"/>
  <c r="AG54" i="32"/>
  <c r="AG53" i="32"/>
  <c r="AG52" i="32"/>
  <c r="AF55" i="32"/>
  <c r="AF54" i="32"/>
  <c r="AF53" i="32"/>
  <c r="AF52" i="32"/>
  <c r="AE55" i="32"/>
  <c r="AE54" i="32"/>
  <c r="AE53" i="32"/>
  <c r="AE52" i="32"/>
  <c r="AD58" i="33" a="1"/>
  <c r="AD60" i="33"/>
  <c r="AJ38" i="33" a="1"/>
  <c r="AJ40" i="33"/>
  <c r="AD58" i="36" a="1"/>
  <c r="AD58" i="36"/>
  <c r="AI45" i="39"/>
  <c r="AD64" i="39" a="1"/>
  <c r="AP38" i="39" a="1"/>
  <c r="AO38" i="39" a="1"/>
  <c r="AN38" i="39" a="1"/>
  <c r="AE61" i="35"/>
  <c r="AE60" i="35"/>
  <c r="AE59" i="35"/>
  <c r="AE58" i="35"/>
  <c r="AD61" i="35"/>
  <c r="AD60" i="35"/>
  <c r="AD59" i="35"/>
  <c r="AD58" i="35"/>
  <c r="AF61" i="35"/>
  <c r="AF60" i="35"/>
  <c r="AF59" i="35"/>
  <c r="AF58" i="35"/>
  <c r="AG61" i="35"/>
  <c r="AG60" i="35"/>
  <c r="AG59" i="35"/>
  <c r="AG58" i="35"/>
  <c r="AD58" i="31" a="1"/>
  <c r="AJ38" i="31" a="1"/>
  <c r="AD58" i="34" a="1"/>
  <c r="AJ38" i="34" a="1"/>
  <c r="AJ40" i="37"/>
  <c r="AJ39" i="37"/>
  <c r="AJ38" i="37"/>
  <c r="AJ41" i="37"/>
  <c r="AJ39" i="35"/>
  <c r="AJ41" i="35"/>
  <c r="AJ40" i="35"/>
  <c r="AJ38" i="35"/>
  <c r="AF61" i="37"/>
  <c r="AF60" i="37"/>
  <c r="AF59" i="37"/>
  <c r="AF58" i="37"/>
  <c r="AE61" i="37"/>
  <c r="AE60" i="37"/>
  <c r="AE59" i="37"/>
  <c r="AE58" i="37"/>
  <c r="AD61" i="37"/>
  <c r="AD60" i="37"/>
  <c r="AD59" i="37"/>
  <c r="AD58" i="37"/>
  <c r="AG61" i="37"/>
  <c r="AG60" i="37"/>
  <c r="AG59" i="37"/>
  <c r="AG58" i="37"/>
  <c r="AD58" i="32" a="1"/>
  <c r="AJ38" i="32" a="1"/>
  <c r="AJ38" i="36"/>
  <c r="AJ41" i="36"/>
  <c r="AJ39" i="36"/>
  <c r="AJ40" i="36"/>
  <c r="AF61" i="33"/>
  <c r="AE59" i="33"/>
  <c r="AG59" i="33"/>
  <c r="AE60" i="33"/>
  <c r="AF58" i="33"/>
  <c r="AD58" i="33"/>
  <c r="AG61" i="33"/>
  <c r="AE61" i="33"/>
  <c r="AD59" i="33"/>
  <c r="AD61" i="33"/>
  <c r="AE58" i="33"/>
  <c r="AF59" i="33"/>
  <c r="AG58" i="33"/>
  <c r="AF60" i="33"/>
  <c r="AG60" i="33"/>
  <c r="AO38" i="33" a="1"/>
  <c r="AJ38" i="33"/>
  <c r="AJ39" i="33"/>
  <c r="AJ41" i="33"/>
  <c r="AI45" i="33"/>
  <c r="AF60" i="36"/>
  <c r="AD60" i="36"/>
  <c r="AF61" i="36"/>
  <c r="AD61" i="36"/>
  <c r="AF59" i="36"/>
  <c r="AD59" i="36"/>
  <c r="AE60" i="36"/>
  <c r="AG58" i="36"/>
  <c r="AG59" i="36"/>
  <c r="AE61" i="36"/>
  <c r="AE58" i="36"/>
  <c r="AG60" i="36"/>
  <c r="AE59" i="36"/>
  <c r="AG61" i="36"/>
  <c r="AF58" i="36"/>
  <c r="AI45" i="36"/>
  <c r="AI45" i="37"/>
  <c r="AO39" i="39"/>
  <c r="AO38" i="39"/>
  <c r="AO41" i="39"/>
  <c r="AO40" i="39"/>
  <c r="AP38" i="39"/>
  <c r="AP41" i="39"/>
  <c r="AP40" i="39"/>
  <c r="AP39" i="39"/>
  <c r="AG67" i="39"/>
  <c r="AG66" i="39"/>
  <c r="AG65" i="39"/>
  <c r="AG64" i="39"/>
  <c r="AF67" i="39"/>
  <c r="AF66" i="39"/>
  <c r="AF65" i="39"/>
  <c r="AF64" i="39"/>
  <c r="AE67" i="39"/>
  <c r="AE66" i="39"/>
  <c r="AE65" i="39"/>
  <c r="AE64" i="39"/>
  <c r="AD67" i="39"/>
  <c r="AD66" i="39"/>
  <c r="AD65" i="39"/>
  <c r="AD64" i="39"/>
  <c r="AN40" i="39"/>
  <c r="AN39" i="39"/>
  <c r="AN38" i="39"/>
  <c r="AN41" i="39"/>
  <c r="AI45" i="35"/>
  <c r="AJ39" i="32"/>
  <c r="AJ38" i="32"/>
  <c r="AJ41" i="32"/>
  <c r="AJ40" i="32"/>
  <c r="AG61" i="34"/>
  <c r="AG60" i="34"/>
  <c r="AG59" i="34"/>
  <c r="AG58" i="34"/>
  <c r="AF61" i="34"/>
  <c r="AF60" i="34"/>
  <c r="AF59" i="34"/>
  <c r="AF58" i="34"/>
  <c r="AE61" i="34"/>
  <c r="AE60" i="34"/>
  <c r="AE59" i="34"/>
  <c r="AE58" i="34"/>
  <c r="AD61" i="34"/>
  <c r="AD60" i="34"/>
  <c r="AD59" i="34"/>
  <c r="AD58" i="34"/>
  <c r="AP38" i="35" a="1"/>
  <c r="AD64" i="35" a="1"/>
  <c r="AO38" i="35" a="1"/>
  <c r="AN38" i="35" a="1"/>
  <c r="AE61" i="32"/>
  <c r="AE60" i="32"/>
  <c r="AE59" i="32"/>
  <c r="AE58" i="32"/>
  <c r="AD61" i="32"/>
  <c r="AD60" i="32"/>
  <c r="AD59" i="32"/>
  <c r="AD58" i="32"/>
  <c r="AG61" i="32"/>
  <c r="AG60" i="32"/>
  <c r="AG59" i="32"/>
  <c r="AG58" i="32"/>
  <c r="AF61" i="32"/>
  <c r="AF60" i="32"/>
  <c r="AF59" i="32"/>
  <c r="AF58" i="32"/>
  <c r="AD64" i="37" a="1"/>
  <c r="AP38" i="37" a="1"/>
  <c r="AO38" i="37" a="1"/>
  <c r="AN38" i="37" a="1"/>
  <c r="AJ38" i="31"/>
  <c r="AJ41" i="31"/>
  <c r="AJ40" i="31"/>
  <c r="AJ39" i="31"/>
  <c r="AJ41" i="34"/>
  <c r="AJ40" i="34"/>
  <c r="AJ39" i="34"/>
  <c r="AJ38" i="34"/>
  <c r="AF61" i="31"/>
  <c r="AF60" i="31"/>
  <c r="AF59" i="31"/>
  <c r="AF58" i="31"/>
  <c r="AG60" i="31"/>
  <c r="AE59" i="31"/>
  <c r="AD58" i="31"/>
  <c r="AG61" i="31"/>
  <c r="AE60" i="31"/>
  <c r="AD59" i="31"/>
  <c r="AE61" i="31"/>
  <c r="AD60" i="31"/>
  <c r="AG58" i="31"/>
  <c r="AD61" i="31"/>
  <c r="AG59" i="31"/>
  <c r="AE58" i="31"/>
  <c r="AP38" i="33" a="1"/>
  <c r="AP38" i="33"/>
  <c r="AN38" i="33" a="1"/>
  <c r="AN39" i="33"/>
  <c r="AD64" i="33" a="1"/>
  <c r="AE67" i="33"/>
  <c r="AO38" i="36" a="1"/>
  <c r="AN38" i="36" a="1"/>
  <c r="AN38" i="36"/>
  <c r="AP38" i="36" a="1"/>
  <c r="AP38" i="36"/>
  <c r="AD64" i="36" a="1"/>
  <c r="AI45" i="32"/>
  <c r="AM38" i="39" a="1"/>
  <c r="AK38" i="39" a="1"/>
  <c r="AL38" i="39" a="1"/>
  <c r="AI45" i="31"/>
  <c r="AI45" i="34"/>
  <c r="J20" i="34"/>
  <c r="AN40" i="37"/>
  <c r="AN39" i="37"/>
  <c r="AN38" i="37"/>
  <c r="AN41" i="37"/>
  <c r="AP38" i="32" a="1"/>
  <c r="AO38" i="32" a="1"/>
  <c r="AN38" i="32" a="1"/>
  <c r="AD64" i="32" a="1"/>
  <c r="AN39" i="35"/>
  <c r="AN38" i="35"/>
  <c r="AN41" i="35"/>
  <c r="AN40" i="35"/>
  <c r="AN38" i="34" a="1"/>
  <c r="AD64" i="34" a="1"/>
  <c r="AP38" i="34" a="1"/>
  <c r="AO38" i="34" a="1"/>
  <c r="AD64" i="31" a="1"/>
  <c r="AO38" i="31" a="1"/>
  <c r="AN38" i="31" a="1"/>
  <c r="AP38" i="31" a="1"/>
  <c r="AO39" i="37"/>
  <c r="AO38" i="37"/>
  <c r="AO41" i="37"/>
  <c r="AO40" i="37"/>
  <c r="AG67" i="36"/>
  <c r="AF67" i="36"/>
  <c r="AE67" i="36"/>
  <c r="AE66" i="36"/>
  <c r="AE65" i="36"/>
  <c r="AE64" i="36"/>
  <c r="AD67" i="36"/>
  <c r="AD66" i="36"/>
  <c r="AD65" i="36"/>
  <c r="AD64" i="36"/>
  <c r="AG66" i="36"/>
  <c r="AG65" i="36"/>
  <c r="AG64" i="36"/>
  <c r="AF66" i="36"/>
  <c r="AF65" i="36"/>
  <c r="AF64" i="36"/>
  <c r="AO38" i="35"/>
  <c r="AO39" i="35"/>
  <c r="AO40" i="35"/>
  <c r="AO41" i="35"/>
  <c r="AP38" i="37"/>
  <c r="AP41" i="37"/>
  <c r="AP40" i="37"/>
  <c r="AP39" i="37"/>
  <c r="AO41" i="33"/>
  <c r="AO40" i="33"/>
  <c r="AO39" i="33"/>
  <c r="AO38" i="33"/>
  <c r="AF67" i="35"/>
  <c r="AF66" i="35"/>
  <c r="AF65" i="35"/>
  <c r="AF64" i="35"/>
  <c r="AE67" i="35"/>
  <c r="AE66" i="35"/>
  <c r="AE65" i="35"/>
  <c r="AE64" i="35"/>
  <c r="AG67" i="35"/>
  <c r="AG66" i="35"/>
  <c r="AG65" i="35"/>
  <c r="AG64" i="35"/>
  <c r="AD65" i="35"/>
  <c r="AD64" i="35"/>
  <c r="AD67" i="35"/>
  <c r="AD66" i="35"/>
  <c r="AG67" i="37"/>
  <c r="AG66" i="37"/>
  <c r="AG65" i="37"/>
  <c r="AG64" i="37"/>
  <c r="AF67" i="37"/>
  <c r="AF66" i="37"/>
  <c r="AF65" i="37"/>
  <c r="AF64" i="37"/>
  <c r="AE67" i="37"/>
  <c r="AE66" i="37"/>
  <c r="AE65" i="37"/>
  <c r="AE64" i="37"/>
  <c r="AD67" i="37"/>
  <c r="AD66" i="37"/>
  <c r="AD65" i="37"/>
  <c r="AD64" i="37"/>
  <c r="AP41" i="33"/>
  <c r="AP40" i="33"/>
  <c r="AP39" i="33"/>
  <c r="AO41" i="36"/>
  <c r="AO40" i="36"/>
  <c r="AO38" i="36"/>
  <c r="AO39" i="36"/>
  <c r="AP41" i="35"/>
  <c r="AP38" i="35"/>
  <c r="AP40" i="35"/>
  <c r="AP39" i="35"/>
  <c r="AN40" i="33"/>
  <c r="AN41" i="33"/>
  <c r="AN38" i="33"/>
  <c r="AD65" i="33"/>
  <c r="AF66" i="33"/>
  <c r="AG64" i="33"/>
  <c r="AF65" i="33"/>
  <c r="AD67" i="33"/>
  <c r="AG65" i="33"/>
  <c r="AE64" i="33"/>
  <c r="AG67" i="33"/>
  <c r="AE65" i="33"/>
  <c r="AF64" i="33"/>
  <c r="AG66" i="33"/>
  <c r="AF67" i="33"/>
  <c r="AD64" i="33"/>
  <c r="AD66" i="33"/>
  <c r="AE66" i="33"/>
  <c r="AL38" i="33" a="1"/>
  <c r="AN39" i="36"/>
  <c r="AN40" i="36"/>
  <c r="AN41" i="36"/>
  <c r="AP39" i="36"/>
  <c r="AP40" i="36"/>
  <c r="AP41" i="36"/>
  <c r="AL38" i="39"/>
  <c r="AL41" i="39"/>
  <c r="AL40" i="39"/>
  <c r="AL39" i="39"/>
  <c r="AK39" i="39"/>
  <c r="AK38" i="39"/>
  <c r="AK41" i="39"/>
  <c r="AK40" i="39"/>
  <c r="AM41" i="39"/>
  <c r="AM40" i="39"/>
  <c r="AM39" i="39"/>
  <c r="AM38" i="39"/>
  <c r="AN38" i="31"/>
  <c r="AN41" i="31"/>
  <c r="AN40" i="31"/>
  <c r="AN39" i="31"/>
  <c r="AP39" i="34"/>
  <c r="AP38" i="34"/>
  <c r="AP41" i="34"/>
  <c r="AP40" i="34"/>
  <c r="AN39" i="32"/>
  <c r="AN38" i="32"/>
  <c r="AN41" i="32"/>
  <c r="AN40" i="32"/>
  <c r="AK38" i="35" a="1"/>
  <c r="AM38" i="35" a="1"/>
  <c r="AL38" i="35" a="1"/>
  <c r="AK38" i="36" a="1"/>
  <c r="AM38" i="36" a="1"/>
  <c r="AL38" i="36" a="1"/>
  <c r="AM38" i="33" a="1"/>
  <c r="AO41" i="31"/>
  <c r="AO40" i="31"/>
  <c r="AO39" i="31"/>
  <c r="AO38" i="31"/>
  <c r="AD67" i="34"/>
  <c r="AD66" i="34"/>
  <c r="AD65" i="34"/>
  <c r="AD64" i="34"/>
  <c r="AG67" i="34"/>
  <c r="AG66" i="34"/>
  <c r="AG65" i="34"/>
  <c r="AG64" i="34"/>
  <c r="AF67" i="34"/>
  <c r="AF66" i="34"/>
  <c r="AF65" i="34"/>
  <c r="AF64" i="34"/>
  <c r="AE67" i="34"/>
  <c r="AE66" i="34"/>
  <c r="AE65" i="34"/>
  <c r="AE64" i="34"/>
  <c r="AO38" i="32"/>
  <c r="AO41" i="32"/>
  <c r="AO40" i="32"/>
  <c r="AO39" i="32"/>
  <c r="AG67" i="31"/>
  <c r="AG66" i="31"/>
  <c r="AG65" i="31"/>
  <c r="AG64" i="31"/>
  <c r="AF66" i="31"/>
  <c r="AE65" i="31"/>
  <c r="AD64" i="31"/>
  <c r="AF67" i="31"/>
  <c r="AE66" i="31"/>
  <c r="AD65" i="31"/>
  <c r="AE67" i="31"/>
  <c r="AD66" i="31"/>
  <c r="AF64" i="31"/>
  <c r="AD67" i="31"/>
  <c r="AF65" i="31"/>
  <c r="AE64" i="31"/>
  <c r="AN41" i="34"/>
  <c r="AN40" i="34"/>
  <c r="AN39" i="34"/>
  <c r="AN38" i="34"/>
  <c r="AP41" i="32"/>
  <c r="AP40" i="32"/>
  <c r="AP39" i="32"/>
  <c r="AP38" i="32"/>
  <c r="AM38" i="37" a="1"/>
  <c r="AK38" i="37" a="1"/>
  <c r="AL38" i="37" a="1"/>
  <c r="AP40" i="31"/>
  <c r="AP39" i="31"/>
  <c r="AP38" i="31"/>
  <c r="AP41" i="31"/>
  <c r="AO40" i="34"/>
  <c r="AO39" i="34"/>
  <c r="AO38" i="34"/>
  <c r="AO41" i="34"/>
  <c r="AF67" i="32"/>
  <c r="AF66" i="32"/>
  <c r="AF65" i="32"/>
  <c r="AF64" i="32"/>
  <c r="AE67" i="32"/>
  <c r="AE66" i="32"/>
  <c r="AE65" i="32"/>
  <c r="AE64" i="32"/>
  <c r="AD67" i="32"/>
  <c r="AD66" i="32"/>
  <c r="AD65" i="32"/>
  <c r="AD64" i="32"/>
  <c r="AG67" i="32"/>
  <c r="AG66" i="32"/>
  <c r="AG65" i="32"/>
  <c r="AG64" i="32"/>
  <c r="AK38" i="33" a="1"/>
  <c r="AK40" i="33"/>
  <c r="AQ38" i="39" a="1"/>
  <c r="AK38" i="32" a="1"/>
  <c r="AM38" i="32" a="1"/>
  <c r="AL38" i="32" a="1"/>
  <c r="AL38" i="37"/>
  <c r="AL41" i="37"/>
  <c r="AL40" i="37"/>
  <c r="AL39" i="37"/>
  <c r="AK38" i="31" a="1"/>
  <c r="AM38" i="31" a="1"/>
  <c r="AL38" i="31" a="1"/>
  <c r="AM39" i="33"/>
  <c r="AM38" i="33"/>
  <c r="AM41" i="33"/>
  <c r="AM40" i="33"/>
  <c r="AK41" i="36"/>
  <c r="AK40" i="36"/>
  <c r="AK39" i="36"/>
  <c r="AK38" i="36"/>
  <c r="AK39" i="37"/>
  <c r="AK38" i="37"/>
  <c r="AK41" i="37"/>
  <c r="AK40" i="37"/>
  <c r="AL41" i="35"/>
  <c r="AL38" i="35"/>
  <c r="AL40" i="35"/>
  <c r="AL39" i="35"/>
  <c r="AM41" i="37"/>
  <c r="AM40" i="37"/>
  <c r="AM39" i="37"/>
  <c r="AM38" i="37"/>
  <c r="AL40" i="36"/>
  <c r="AL39" i="36"/>
  <c r="AL41" i="36"/>
  <c r="AL38" i="36"/>
  <c r="AM40" i="35"/>
  <c r="AM38" i="35"/>
  <c r="AM41" i="35"/>
  <c r="AM39" i="35"/>
  <c r="AM38" i="34" a="1"/>
  <c r="AK38" i="34" a="1"/>
  <c r="AL38" i="34" a="1"/>
  <c r="AL40" i="33"/>
  <c r="AL39" i="33"/>
  <c r="AL38" i="33"/>
  <c r="AL41" i="33"/>
  <c r="AM39" i="36"/>
  <c r="AM38" i="36"/>
  <c r="AM40" i="36"/>
  <c r="AM41" i="36"/>
  <c r="AK38" i="35"/>
  <c r="AK41" i="35"/>
  <c r="AK40" i="35"/>
  <c r="AK39" i="35"/>
  <c r="AK38" i="33"/>
  <c r="AK39" i="33"/>
  <c r="AK41" i="33"/>
  <c r="AQ41" i="39"/>
  <c r="AQ40" i="39"/>
  <c r="AQ39" i="39"/>
  <c r="AQ38" i="39"/>
  <c r="AQ38" i="35" a="1"/>
  <c r="AQ38" i="37" a="1"/>
  <c r="AK41" i="31"/>
  <c r="AK40" i="31"/>
  <c r="AK39" i="31"/>
  <c r="AK38" i="31"/>
  <c r="AL39" i="34"/>
  <c r="AL38" i="34"/>
  <c r="AL41" i="34"/>
  <c r="AL40" i="34"/>
  <c r="AK40" i="34"/>
  <c r="AK39" i="34"/>
  <c r="AK38" i="34"/>
  <c r="AK41" i="34"/>
  <c r="AL41" i="32"/>
  <c r="AL40" i="32"/>
  <c r="AL39" i="32"/>
  <c r="AL38" i="32"/>
  <c r="AM38" i="34"/>
  <c r="AM41" i="34"/>
  <c r="AM40" i="34"/>
  <c r="AM39" i="34"/>
  <c r="AQ38" i="36" a="1"/>
  <c r="AL40" i="31"/>
  <c r="AL39" i="31"/>
  <c r="AL38" i="31"/>
  <c r="AL41" i="31"/>
  <c r="AM40" i="32"/>
  <c r="AM39" i="32"/>
  <c r="AM38" i="32"/>
  <c r="AM41" i="32"/>
  <c r="AQ38" i="33" a="1"/>
  <c r="AM39" i="31"/>
  <c r="AM38" i="31"/>
  <c r="AM41" i="31"/>
  <c r="AM40" i="31"/>
  <c r="AK38" i="32"/>
  <c r="AK41" i="32"/>
  <c r="AK40" i="32"/>
  <c r="AK39" i="32"/>
  <c r="AK46" i="39" a="1"/>
  <c r="AJ46" i="39" a="1"/>
  <c r="AQ38" i="32" a="1"/>
  <c r="AQ39" i="32"/>
  <c r="AQ40" i="33"/>
  <c r="AQ41" i="33"/>
  <c r="AQ39" i="33"/>
  <c r="AQ38" i="33"/>
  <c r="AQ39" i="36"/>
  <c r="AQ38" i="36"/>
  <c r="AQ41" i="36"/>
  <c r="AQ40" i="36"/>
  <c r="AQ38" i="31" a="1"/>
  <c r="AQ41" i="37"/>
  <c r="AQ40" i="37"/>
  <c r="AQ39" i="37"/>
  <c r="AQ38" i="37"/>
  <c r="AQ38" i="34" a="1"/>
  <c r="AQ40" i="35"/>
  <c r="AQ41" i="35"/>
  <c r="AQ38" i="35"/>
  <c r="AQ39" i="35"/>
  <c r="AQ38" i="32"/>
  <c r="AJ47" i="39"/>
  <c r="AJ46" i="39"/>
  <c r="AJ49" i="39"/>
  <c r="AJ48" i="39"/>
  <c r="AQ40" i="32"/>
  <c r="AQ41" i="32"/>
  <c r="AK46" i="39"/>
  <c r="AK49" i="39"/>
  <c r="Q15" i="39" a="1"/>
  <c r="AK48" i="39"/>
  <c r="Q13" i="39" a="1"/>
  <c r="AK47" i="39"/>
  <c r="Q11" i="39" a="1"/>
  <c r="AK46" i="33" a="1"/>
  <c r="AJ46" i="33" a="1"/>
  <c r="AQ38" i="34"/>
  <c r="AQ41" i="34"/>
  <c r="AQ40" i="34"/>
  <c r="AQ39" i="34"/>
  <c r="AJ46" i="36" a="1"/>
  <c r="AK46" i="36" a="1"/>
  <c r="AK46" i="35" a="1"/>
  <c r="AJ46" i="35" a="1"/>
  <c r="AK46" i="37" a="1"/>
  <c r="AJ46" i="37" a="1"/>
  <c r="AQ39" i="31"/>
  <c r="AQ38" i="31"/>
  <c r="AQ41" i="31"/>
  <c r="AQ40" i="31"/>
  <c r="AJ46" i="32" a="1"/>
  <c r="AJ49" i="32"/>
  <c r="AK46" i="32" a="1"/>
  <c r="AK49" i="32"/>
  <c r="Q15" i="32" a="1"/>
  <c r="AJ52" i="39" a="1"/>
  <c r="AI52" i="39" a="1"/>
  <c r="AL52" i="39" a="1"/>
  <c r="AK52" i="39" a="1"/>
  <c r="Q9" i="39" a="1"/>
  <c r="W11" i="39"/>
  <c r="S11" i="39"/>
  <c r="V11" i="39"/>
  <c r="R11" i="39"/>
  <c r="U11" i="39"/>
  <c r="Q11" i="39"/>
  <c r="X11" i="39"/>
  <c r="T11" i="39"/>
  <c r="W13" i="39"/>
  <c r="S13" i="39"/>
  <c r="V13" i="39"/>
  <c r="R13" i="39"/>
  <c r="U13" i="39"/>
  <c r="Q13" i="39"/>
  <c r="X13" i="39"/>
  <c r="T13" i="39"/>
  <c r="W15" i="39"/>
  <c r="S15" i="39"/>
  <c r="V15" i="39"/>
  <c r="R15" i="39"/>
  <c r="U15" i="39"/>
  <c r="Q15" i="39"/>
  <c r="T15" i="39"/>
  <c r="X15" i="39"/>
  <c r="AK46" i="37"/>
  <c r="AK49" i="37"/>
  <c r="Q15" i="37" a="1"/>
  <c r="AK48" i="37"/>
  <c r="Q13" i="37" a="1"/>
  <c r="AK47" i="37"/>
  <c r="Q11" i="37" a="1"/>
  <c r="AJ46" i="31" a="1"/>
  <c r="AK46" i="31" a="1"/>
  <c r="AJ46" i="35"/>
  <c r="AJ47" i="35"/>
  <c r="AJ48" i="35"/>
  <c r="AJ49" i="35"/>
  <c r="AJ46" i="33"/>
  <c r="AJ49" i="33"/>
  <c r="AJ48" i="33"/>
  <c r="AJ47" i="33"/>
  <c r="AK49" i="35"/>
  <c r="Q15" i="35" a="1"/>
  <c r="AK46" i="35"/>
  <c r="AK48" i="35"/>
  <c r="Q13" i="35" a="1"/>
  <c r="AK47" i="35"/>
  <c r="Q11" i="35" a="1"/>
  <c r="AK49" i="33"/>
  <c r="Q15" i="33" a="1"/>
  <c r="AK48" i="33"/>
  <c r="Q13" i="33" a="1"/>
  <c r="AK47" i="33"/>
  <c r="Q11" i="33" a="1"/>
  <c r="AK46" i="33"/>
  <c r="AJ47" i="37"/>
  <c r="AJ46" i="37"/>
  <c r="AJ49" i="37"/>
  <c r="AJ48" i="37"/>
  <c r="AK48" i="36"/>
  <c r="Q13" i="36" a="1"/>
  <c r="AK47" i="36"/>
  <c r="Q11" i="36" a="1"/>
  <c r="AK46" i="36"/>
  <c r="AK49" i="36"/>
  <c r="Q15" i="36" a="1"/>
  <c r="AJ49" i="36"/>
  <c r="AJ48" i="36"/>
  <c r="AJ47" i="36"/>
  <c r="AJ46" i="36"/>
  <c r="AK46" i="34" a="1"/>
  <c r="AJ46" i="34" a="1"/>
  <c r="AK48" i="32"/>
  <c r="Q13" i="32" a="1"/>
  <c r="X13" i="32"/>
  <c r="AJ48" i="32"/>
  <c r="AK46" i="32"/>
  <c r="AJ46" i="32"/>
  <c r="AK47" i="32"/>
  <c r="Q11" i="32" a="1"/>
  <c r="V11" i="32"/>
  <c r="AJ47" i="32"/>
  <c r="AL53" i="39"/>
  <c r="AL52" i="39"/>
  <c r="AL55" i="39"/>
  <c r="AL54" i="39"/>
  <c r="AK54" i="39"/>
  <c r="N13" i="39"/>
  <c r="AK53" i="39"/>
  <c r="AK52" i="39"/>
  <c r="AK55" i="39"/>
  <c r="N15" i="39"/>
  <c r="AI52" i="39"/>
  <c r="O9" i="39"/>
  <c r="AI55" i="39"/>
  <c r="O15" i="39"/>
  <c r="AI54" i="39"/>
  <c r="O13" i="39"/>
  <c r="AI53" i="39"/>
  <c r="O11" i="39"/>
  <c r="W9" i="39"/>
  <c r="S9" i="39"/>
  <c r="V9" i="39"/>
  <c r="R9" i="39"/>
  <c r="U9" i="39"/>
  <c r="Q9" i="39"/>
  <c r="X9" i="39"/>
  <c r="T9" i="39"/>
  <c r="AJ55" i="39"/>
  <c r="AJ54" i="39"/>
  <c r="AJ53" i="39"/>
  <c r="AJ52" i="39"/>
  <c r="V11" i="36"/>
  <c r="R11" i="36"/>
  <c r="U11" i="36"/>
  <c r="Q11" i="36"/>
  <c r="X11" i="36"/>
  <c r="T11" i="36"/>
  <c r="W11" i="36"/>
  <c r="S11" i="36"/>
  <c r="V13" i="33"/>
  <c r="R13" i="33"/>
  <c r="U13" i="33"/>
  <c r="Q13" i="33"/>
  <c r="X13" i="33"/>
  <c r="T13" i="33"/>
  <c r="W13" i="33"/>
  <c r="S13" i="33"/>
  <c r="AI52" i="35" a="1"/>
  <c r="AL52" i="35" a="1"/>
  <c r="AJ52" i="35" a="1"/>
  <c r="Q9" i="35" a="1"/>
  <c r="AK52" i="35" a="1"/>
  <c r="W11" i="37"/>
  <c r="S11" i="37"/>
  <c r="V11" i="37"/>
  <c r="R11" i="37"/>
  <c r="Q11" i="37"/>
  <c r="X11" i="37"/>
  <c r="U11" i="37"/>
  <c r="T11" i="37"/>
  <c r="V15" i="32"/>
  <c r="R15" i="32"/>
  <c r="X15" i="32"/>
  <c r="T15" i="32"/>
  <c r="S15" i="32"/>
  <c r="W15" i="32"/>
  <c r="Q15" i="32"/>
  <c r="U15" i="32"/>
  <c r="V13" i="36"/>
  <c r="R13" i="36"/>
  <c r="X13" i="36"/>
  <c r="S13" i="36"/>
  <c r="W13" i="36"/>
  <c r="Q13" i="36"/>
  <c r="U13" i="36"/>
  <c r="T13" i="36"/>
  <c r="V15" i="33"/>
  <c r="R15" i="33"/>
  <c r="U15" i="33"/>
  <c r="Q15" i="33"/>
  <c r="X15" i="33"/>
  <c r="T15" i="33"/>
  <c r="W15" i="33"/>
  <c r="S15" i="33"/>
  <c r="X15" i="35"/>
  <c r="T15" i="35"/>
  <c r="W15" i="35"/>
  <c r="S15" i="35"/>
  <c r="V15" i="35"/>
  <c r="R15" i="35"/>
  <c r="U15" i="35"/>
  <c r="Q15" i="35"/>
  <c r="W13" i="37"/>
  <c r="S13" i="37"/>
  <c r="V13" i="37"/>
  <c r="R13" i="37"/>
  <c r="Q13" i="37"/>
  <c r="X13" i="37"/>
  <c r="U13" i="37"/>
  <c r="T13" i="37"/>
  <c r="AJ48" i="34"/>
  <c r="AJ47" i="34"/>
  <c r="AJ46" i="34"/>
  <c r="AJ49" i="34"/>
  <c r="V15" i="36"/>
  <c r="R15" i="36"/>
  <c r="X15" i="36"/>
  <c r="S15" i="36"/>
  <c r="W15" i="36"/>
  <c r="Q15" i="36"/>
  <c r="U15" i="36"/>
  <c r="T15" i="36"/>
  <c r="AL52" i="33" a="1"/>
  <c r="AI52" i="33" a="1"/>
  <c r="AK52" i="33" a="1"/>
  <c r="Q9" i="33" a="1"/>
  <c r="AJ52" i="33" a="1"/>
  <c r="X11" i="35"/>
  <c r="T11" i="35"/>
  <c r="W11" i="35"/>
  <c r="S11" i="35"/>
  <c r="V11" i="35"/>
  <c r="R11" i="35"/>
  <c r="U11" i="35"/>
  <c r="Q11" i="35"/>
  <c r="AK48" i="31"/>
  <c r="Q13" i="31" a="1"/>
  <c r="AK47" i="31"/>
  <c r="Q11" i="31" a="1"/>
  <c r="AK46" i="31"/>
  <c r="AK49" i="31"/>
  <c r="Q15" i="31" a="1"/>
  <c r="W15" i="37"/>
  <c r="S15" i="37"/>
  <c r="V15" i="37"/>
  <c r="R15" i="37"/>
  <c r="Q15" i="37"/>
  <c r="X15" i="37"/>
  <c r="U15" i="37"/>
  <c r="T15" i="37"/>
  <c r="AI52" i="32" a="1"/>
  <c r="Q9" i="32" a="1"/>
  <c r="AK47" i="34"/>
  <c r="Q11" i="34" a="1"/>
  <c r="AK46" i="34"/>
  <c r="AK49" i="34"/>
  <c r="Q15" i="34" a="1"/>
  <c r="AK48" i="34"/>
  <c r="Q13" i="34" a="1"/>
  <c r="AL52" i="36" a="1"/>
  <c r="AK52" i="36" a="1"/>
  <c r="AJ52" i="36" a="1"/>
  <c r="AI52" i="36" a="1"/>
  <c r="Q9" i="36" a="1"/>
  <c r="V11" i="33"/>
  <c r="R11" i="33"/>
  <c r="U11" i="33"/>
  <c r="Q11" i="33"/>
  <c r="X11" i="33"/>
  <c r="T11" i="33"/>
  <c r="W11" i="33"/>
  <c r="S11" i="33"/>
  <c r="X13" i="35"/>
  <c r="T13" i="35"/>
  <c r="W13" i="35"/>
  <c r="S13" i="35"/>
  <c r="V13" i="35"/>
  <c r="R13" i="35"/>
  <c r="U13" i="35"/>
  <c r="Q13" i="35"/>
  <c r="AJ49" i="31"/>
  <c r="AJ48" i="31"/>
  <c r="AJ47" i="31"/>
  <c r="AJ46" i="31"/>
  <c r="AJ52" i="37" a="1"/>
  <c r="AI52" i="37" a="1"/>
  <c r="AL52" i="37" a="1"/>
  <c r="AK52" i="37" a="1"/>
  <c r="Q9" i="37" a="1"/>
  <c r="U11" i="32"/>
  <c r="X11" i="32"/>
  <c r="Q11" i="32"/>
  <c r="T11" i="32"/>
  <c r="AJ52" i="32" a="1"/>
  <c r="AJ53" i="32"/>
  <c r="W11" i="32"/>
  <c r="R11" i="32"/>
  <c r="AK52" i="32" a="1"/>
  <c r="AK54" i="32"/>
  <c r="N13" i="32"/>
  <c r="S11" i="32"/>
  <c r="AL52" i="32" a="1"/>
  <c r="AL55" i="32"/>
  <c r="Q13" i="32"/>
  <c r="T13" i="32"/>
  <c r="W13" i="32"/>
  <c r="R13" i="32"/>
  <c r="S13" i="32"/>
  <c r="V13" i="32"/>
  <c r="U13" i="32"/>
  <c r="N9" i="39"/>
  <c r="F20" i="39"/>
  <c r="N11" i="39"/>
  <c r="J20" i="39"/>
  <c r="AK54" i="37"/>
  <c r="N13" i="37"/>
  <c r="AK53" i="37"/>
  <c r="AK52" i="37"/>
  <c r="AK55" i="37"/>
  <c r="N15" i="37"/>
  <c r="V9" i="36"/>
  <c r="R9" i="36"/>
  <c r="U9" i="36"/>
  <c r="Q9" i="36"/>
  <c r="X9" i="36"/>
  <c r="T9" i="36"/>
  <c r="W9" i="36"/>
  <c r="S9" i="36"/>
  <c r="AL53" i="37"/>
  <c r="AL52" i="37"/>
  <c r="AL55" i="37"/>
  <c r="AL54" i="37"/>
  <c r="AI54" i="36"/>
  <c r="O13" i="36"/>
  <c r="AI53" i="36"/>
  <c r="O11" i="36"/>
  <c r="AI52" i="36"/>
  <c r="O9" i="36"/>
  <c r="AI55" i="36"/>
  <c r="O15" i="36"/>
  <c r="U13" i="34"/>
  <c r="Q13" i="34"/>
  <c r="W13" i="34"/>
  <c r="S13" i="34"/>
  <c r="V13" i="34"/>
  <c r="R13" i="34"/>
  <c r="X13" i="34"/>
  <c r="T13" i="34"/>
  <c r="V9" i="32"/>
  <c r="R9" i="32"/>
  <c r="T9" i="32"/>
  <c r="X9" i="32"/>
  <c r="S9" i="32"/>
  <c r="W9" i="32"/>
  <c r="Q9" i="32"/>
  <c r="U9" i="32"/>
  <c r="AI55" i="32"/>
  <c r="O15" i="32"/>
  <c r="AI54" i="32"/>
  <c r="O13" i="32"/>
  <c r="AI53" i="32"/>
  <c r="O11" i="32"/>
  <c r="AI52" i="32"/>
  <c r="O9" i="32"/>
  <c r="U13" i="31"/>
  <c r="Q13" i="31"/>
  <c r="W13" i="31"/>
  <c r="S13" i="31"/>
  <c r="V13" i="31"/>
  <c r="R13" i="31"/>
  <c r="X13" i="31"/>
  <c r="T13" i="31"/>
  <c r="AI54" i="33"/>
  <c r="O13" i="33"/>
  <c r="AI55" i="33"/>
  <c r="O15" i="33"/>
  <c r="AI53" i="33"/>
  <c r="O11" i="33"/>
  <c r="AI52" i="33"/>
  <c r="O9" i="33"/>
  <c r="AJ54" i="35"/>
  <c r="AJ55" i="35"/>
  <c r="AJ52" i="35"/>
  <c r="AJ53" i="35"/>
  <c r="AL55" i="36"/>
  <c r="AL54" i="36"/>
  <c r="AL53" i="36"/>
  <c r="AL52" i="36"/>
  <c r="U11" i="31"/>
  <c r="Q11" i="31"/>
  <c r="W11" i="31"/>
  <c r="S11" i="31"/>
  <c r="V11" i="31"/>
  <c r="R11" i="31"/>
  <c r="X11" i="31"/>
  <c r="T11" i="31"/>
  <c r="AI52" i="37"/>
  <c r="O9" i="37"/>
  <c r="AI55" i="37"/>
  <c r="O15" i="37"/>
  <c r="AI54" i="37"/>
  <c r="O13" i="37"/>
  <c r="AI53" i="37"/>
  <c r="O11" i="37"/>
  <c r="AJ53" i="36"/>
  <c r="AJ52" i="36"/>
  <c r="AJ55" i="36"/>
  <c r="AJ54" i="36"/>
  <c r="U15" i="34"/>
  <c r="Q15" i="34"/>
  <c r="W15" i="34"/>
  <c r="S15" i="34"/>
  <c r="V15" i="34"/>
  <c r="R15" i="34"/>
  <c r="T15" i="34"/>
  <c r="X15" i="34"/>
  <c r="U15" i="31"/>
  <c r="Q15" i="31"/>
  <c r="W15" i="31"/>
  <c r="S15" i="31"/>
  <c r="V15" i="31"/>
  <c r="R15" i="31"/>
  <c r="X15" i="31"/>
  <c r="T15" i="31"/>
  <c r="AJ53" i="33"/>
  <c r="AJ54" i="33"/>
  <c r="AJ55" i="33"/>
  <c r="AJ52" i="33"/>
  <c r="AL55" i="33"/>
  <c r="AL52" i="33"/>
  <c r="AL54" i="33"/>
  <c r="AL53" i="33"/>
  <c r="AL52" i="35"/>
  <c r="AL55" i="35"/>
  <c r="AL53" i="35"/>
  <c r="AL54" i="35"/>
  <c r="U11" i="34"/>
  <c r="Q11" i="34"/>
  <c r="W11" i="34"/>
  <c r="S11" i="34"/>
  <c r="V11" i="34"/>
  <c r="R11" i="34"/>
  <c r="T11" i="34"/>
  <c r="X11" i="34"/>
  <c r="AK52" i="33"/>
  <c r="AK53" i="33"/>
  <c r="AK55" i="33"/>
  <c r="N15" i="33"/>
  <c r="AK54" i="33"/>
  <c r="N13" i="33"/>
  <c r="X9" i="35"/>
  <c r="T9" i="35"/>
  <c r="W9" i="35"/>
  <c r="S9" i="35"/>
  <c r="V9" i="35"/>
  <c r="R9" i="35"/>
  <c r="U9" i="35"/>
  <c r="Q9" i="35"/>
  <c r="W9" i="37"/>
  <c r="S9" i="37"/>
  <c r="V9" i="37"/>
  <c r="R9" i="37"/>
  <c r="Q9" i="37"/>
  <c r="X9" i="37"/>
  <c r="U9" i="37"/>
  <c r="T9" i="37"/>
  <c r="AJ55" i="37"/>
  <c r="AJ54" i="37"/>
  <c r="AJ53" i="37"/>
  <c r="AJ52" i="37"/>
  <c r="AK52" i="36"/>
  <c r="AK55" i="36"/>
  <c r="N15" i="36"/>
  <c r="AK54" i="36"/>
  <c r="N13" i="36"/>
  <c r="AK53" i="36"/>
  <c r="AK52" i="34" a="1"/>
  <c r="AJ52" i="34" a="1"/>
  <c r="AI52" i="34" a="1"/>
  <c r="AL52" i="34" a="1"/>
  <c r="Q9" i="34" a="1"/>
  <c r="AL52" i="31" a="1"/>
  <c r="AK52" i="31" a="1"/>
  <c r="AJ52" i="31" a="1"/>
  <c r="AI52" i="31" a="1"/>
  <c r="Q9" i="31" a="1"/>
  <c r="V9" i="33"/>
  <c r="R9" i="33"/>
  <c r="U9" i="33"/>
  <c r="Q9" i="33"/>
  <c r="X9" i="33"/>
  <c r="T9" i="33"/>
  <c r="W9" i="33"/>
  <c r="S9" i="33"/>
  <c r="AK53" i="35"/>
  <c r="AK54" i="35"/>
  <c r="N13" i="35"/>
  <c r="AK55" i="35"/>
  <c r="N15" i="35"/>
  <c r="AK52" i="35"/>
  <c r="AI55" i="35"/>
  <c r="O15" i="35"/>
  <c r="AI52" i="35"/>
  <c r="O9" i="35"/>
  <c r="AI54" i="35"/>
  <c r="O13" i="35"/>
  <c r="AI53" i="35"/>
  <c r="O11" i="35"/>
  <c r="AK52" i="32"/>
  <c r="AK55" i="32"/>
  <c r="N15" i="32"/>
  <c r="AK53" i="32"/>
  <c r="AJ55" i="32"/>
  <c r="AJ54" i="32"/>
  <c r="AJ52" i="32"/>
  <c r="AL52" i="32"/>
  <c r="AL53" i="32"/>
  <c r="AL54" i="32"/>
  <c r="K20" i="39"/>
  <c r="C39" i="10"/>
  <c r="E20" i="39"/>
  <c r="C3" i="10"/>
  <c r="G5" i="10"/>
  <c r="F5" i="10"/>
  <c r="AI54" i="31"/>
  <c r="O13" i="31"/>
  <c r="AI53" i="31"/>
  <c r="O11" i="31"/>
  <c r="AI52" i="31"/>
  <c r="O9" i="31"/>
  <c r="AI55" i="31"/>
  <c r="O15" i="31"/>
  <c r="AJ53" i="31"/>
  <c r="AJ52" i="31"/>
  <c r="AJ55" i="31"/>
  <c r="AJ54" i="31"/>
  <c r="AL54" i="34"/>
  <c r="AL53" i="34"/>
  <c r="AL52" i="34"/>
  <c r="AL55" i="34"/>
  <c r="N11" i="36"/>
  <c r="J20" i="36"/>
  <c r="N9" i="37"/>
  <c r="F20" i="37"/>
  <c r="N9" i="33"/>
  <c r="F20" i="33"/>
  <c r="N11" i="35"/>
  <c r="J20" i="35"/>
  <c r="AK52" i="31"/>
  <c r="AK55" i="31"/>
  <c r="N15" i="31"/>
  <c r="AK54" i="31"/>
  <c r="N13" i="31"/>
  <c r="AK53" i="31"/>
  <c r="N9" i="32"/>
  <c r="F20" i="32"/>
  <c r="AI53" i="34"/>
  <c r="O11" i="34"/>
  <c r="AI52" i="34"/>
  <c r="O9" i="34"/>
  <c r="AI55" i="34"/>
  <c r="O15" i="34"/>
  <c r="AI54" i="34"/>
  <c r="O13" i="34"/>
  <c r="N11" i="37"/>
  <c r="J20" i="37"/>
  <c r="U9" i="34"/>
  <c r="Q9" i="34"/>
  <c r="V9" i="34"/>
  <c r="R9" i="34"/>
  <c r="S9" i="34"/>
  <c r="X9" i="34"/>
  <c r="W9" i="34"/>
  <c r="T9" i="34"/>
  <c r="AK55" i="34"/>
  <c r="N15" i="34"/>
  <c r="AK54" i="34"/>
  <c r="N13" i="34"/>
  <c r="AK53" i="34"/>
  <c r="AK52" i="34"/>
  <c r="N9" i="36"/>
  <c r="F20" i="36"/>
  <c r="N9" i="35"/>
  <c r="F20" i="35"/>
  <c r="U9" i="31"/>
  <c r="Q9" i="31"/>
  <c r="W9" i="31"/>
  <c r="S9" i="31"/>
  <c r="V9" i="31"/>
  <c r="R9" i="31"/>
  <c r="T9" i="31"/>
  <c r="X9" i="31"/>
  <c r="AL53" i="31"/>
  <c r="AL55" i="31"/>
  <c r="AL54" i="31"/>
  <c r="AL52" i="31"/>
  <c r="N11" i="32"/>
  <c r="J20" i="32"/>
  <c r="AJ52" i="34"/>
  <c r="AJ55" i="34"/>
  <c r="AJ54" i="34"/>
  <c r="AJ53" i="34"/>
  <c r="N11" i="33"/>
  <c r="J20" i="33"/>
  <c r="K20" i="33"/>
  <c r="C15" i="10"/>
  <c r="E20" i="32"/>
  <c r="C11" i="10"/>
  <c r="B11" i="10"/>
  <c r="K20" i="36"/>
  <c r="C63" i="10"/>
  <c r="B63" i="10"/>
  <c r="E20" i="36"/>
  <c r="C27" i="10"/>
  <c r="B27" i="10"/>
  <c r="E20" i="33"/>
  <c r="C43" i="10"/>
  <c r="B43" i="10"/>
  <c r="K20" i="37"/>
  <c r="C31" i="10"/>
  <c r="K20" i="35"/>
  <c r="C23" i="10"/>
  <c r="B23" i="10"/>
  <c r="E20" i="37"/>
  <c r="C59" i="10"/>
  <c r="B59" i="10"/>
  <c r="E20" i="35"/>
  <c r="C51" i="10"/>
  <c r="B51" i="10"/>
  <c r="K20" i="32"/>
  <c r="C47" i="10"/>
  <c r="B47" i="10"/>
  <c r="N11" i="34"/>
  <c r="N9" i="31"/>
  <c r="F20" i="31"/>
  <c r="N9" i="34"/>
  <c r="F20" i="34"/>
  <c r="N11" i="31"/>
  <c r="J20" i="31"/>
  <c r="B39" i="10"/>
  <c r="B31" i="10"/>
  <c r="F29" i="10"/>
  <c r="E20" i="34"/>
  <c r="C19" i="10"/>
  <c r="B19" i="10"/>
  <c r="K20" i="34"/>
  <c r="C55" i="10"/>
  <c r="B55" i="10"/>
  <c r="K20" i="31"/>
  <c r="C7" i="10"/>
  <c r="B7" i="10"/>
  <c r="E20" i="31"/>
  <c r="C35" i="10"/>
  <c r="B35" i="10"/>
  <c r="B15" i="10"/>
  <c r="F13" i="10"/>
  <c r="B3" i="10"/>
  <c r="F45" i="10"/>
  <c r="F53" i="10"/>
  <c r="F37" i="10"/>
  <c r="F21" i="10"/>
  <c r="J41" i="10"/>
  <c r="S21" i="10"/>
  <c r="J57" i="10"/>
  <c r="J9" i="10"/>
  <c r="J25" i="10"/>
  <c r="O13" i="10"/>
  <c r="S45" i="10"/>
  <c r="O53" i="10"/>
  <c r="O45" i="10"/>
  <c r="S37" i="10"/>
  <c r="O21" i="10"/>
  <c r="S29" i="10"/>
</calcChain>
</file>

<file path=xl/sharedStrings.xml><?xml version="1.0" encoding="utf-8"?>
<sst xmlns="http://schemas.openxmlformats.org/spreadsheetml/2006/main" count="1348" uniqueCount="524">
  <si>
    <t>Countries</t>
  </si>
  <si>
    <t>ISO code</t>
  </si>
  <si>
    <t>Argentina</t>
  </si>
  <si>
    <t>ar</t>
  </si>
  <si>
    <t>Australia</t>
  </si>
  <si>
    <t>au</t>
  </si>
  <si>
    <t>Belgium</t>
  </si>
  <si>
    <t>be</t>
  </si>
  <si>
    <t>Brazil</t>
  </si>
  <si>
    <t>br</t>
  </si>
  <si>
    <t>Colombia</t>
  </si>
  <si>
    <t>co</t>
  </si>
  <si>
    <t>Costa Rica</t>
  </si>
  <si>
    <t>cr</t>
  </si>
  <si>
    <t>Croatia</t>
  </si>
  <si>
    <t>hr</t>
  </si>
  <si>
    <t>England</t>
  </si>
  <si>
    <t>gb</t>
  </si>
  <si>
    <t>France</t>
  </si>
  <si>
    <t>fr</t>
  </si>
  <si>
    <t>Germany</t>
  </si>
  <si>
    <t>de</t>
  </si>
  <si>
    <t>Iran</t>
  </si>
  <si>
    <t>ir</t>
  </si>
  <si>
    <t>Japan</t>
  </si>
  <si>
    <t>jp</t>
  </si>
  <si>
    <t>kr</t>
  </si>
  <si>
    <t>Mexico</t>
  </si>
  <si>
    <t>Nigeria</t>
  </si>
  <si>
    <t>ng</t>
  </si>
  <si>
    <t>Portugal</t>
  </si>
  <si>
    <t>pt</t>
  </si>
  <si>
    <t>Russia</t>
  </si>
  <si>
    <t>ru</t>
  </si>
  <si>
    <t>Spain</t>
  </si>
  <si>
    <t>es</t>
  </si>
  <si>
    <t>Switzerland</t>
  </si>
  <si>
    <t>ch</t>
  </si>
  <si>
    <t>Uruguay</t>
  </si>
  <si>
    <t>uy</t>
  </si>
  <si>
    <t>A</t>
  </si>
  <si>
    <t>Group</t>
  </si>
  <si>
    <t>B</t>
  </si>
  <si>
    <t>C</t>
  </si>
  <si>
    <t>G</t>
  </si>
  <si>
    <t>D</t>
  </si>
  <si>
    <t>E</t>
  </si>
  <si>
    <t>F</t>
  </si>
  <si>
    <t>H</t>
  </si>
  <si>
    <t>Country</t>
  </si>
  <si>
    <t>mx</t>
  </si>
  <si>
    <t>South Korea</t>
  </si>
  <si>
    <t>GROUP</t>
  </si>
  <si>
    <t>P</t>
  </si>
  <si>
    <t>W</t>
  </si>
  <si>
    <t>L</t>
  </si>
  <si>
    <t>GD</t>
  </si>
  <si>
    <t>PTS</t>
  </si>
  <si>
    <t>KO</t>
  </si>
  <si>
    <t>Thu</t>
  </si>
  <si>
    <t>Fri</t>
  </si>
  <si>
    <t>Sat</t>
  </si>
  <si>
    <t>Sun</t>
  </si>
  <si>
    <t>Mon</t>
  </si>
  <si>
    <t>Tue</t>
  </si>
  <si>
    <t>Wed</t>
  </si>
  <si>
    <t>No</t>
  </si>
  <si>
    <t>Date</t>
  </si>
  <si>
    <t>Venue</t>
  </si>
  <si>
    <t xml:space="preserve">1st Team </t>
  </si>
  <si>
    <t>2nd Team</t>
  </si>
  <si>
    <t>Group Standings</t>
  </si>
  <si>
    <t>Day</t>
  </si>
  <si>
    <t>Week Day</t>
  </si>
  <si>
    <t>V</t>
  </si>
  <si>
    <r>
      <t xml:space="preserve">World Cup 2014 </t>
    </r>
    <r>
      <rPr>
        <sz val="28"/>
        <color theme="9" tint="-0.249977111117893"/>
        <rFont val="Microsoft Tai Le"/>
        <family val="2"/>
      </rPr>
      <t>Prediction Game</t>
    </r>
  </si>
  <si>
    <t>Final</t>
  </si>
  <si>
    <t>Runner up</t>
  </si>
  <si>
    <t>3rd place</t>
  </si>
  <si>
    <t>4th place</t>
  </si>
  <si>
    <t>Semi-finals</t>
  </si>
  <si>
    <t>Quarter-finals</t>
  </si>
  <si>
    <t>Finals</t>
  </si>
  <si>
    <t>Null</t>
  </si>
  <si>
    <t>null</t>
  </si>
  <si>
    <t>Round of 16</t>
  </si>
  <si>
    <t>Third place match</t>
  </si>
  <si>
    <t>f.ar</t>
  </si>
  <si>
    <t>f.au</t>
  </si>
  <si>
    <t>f.be</t>
  </si>
  <si>
    <t>f.br</t>
  </si>
  <si>
    <t>f.co</t>
  </si>
  <si>
    <t>f.cr</t>
  </si>
  <si>
    <t>f.hr</t>
  </si>
  <si>
    <t>f.gb</t>
  </si>
  <si>
    <t>f.fr</t>
  </si>
  <si>
    <t>f.de</t>
  </si>
  <si>
    <t>f.ir</t>
  </si>
  <si>
    <t>f.jp</t>
  </si>
  <si>
    <t>f.kr</t>
  </si>
  <si>
    <t>f.mx</t>
  </si>
  <si>
    <t>f.ng</t>
  </si>
  <si>
    <t>f.pt</t>
  </si>
  <si>
    <t>f.ru</t>
  </si>
  <si>
    <t>f.es</t>
  </si>
  <si>
    <t>f.ch</t>
  </si>
  <si>
    <t>f.uy</t>
  </si>
  <si>
    <t>f.null</t>
  </si>
  <si>
    <t>Played</t>
  </si>
  <si>
    <t>For</t>
  </si>
  <si>
    <t>Against</t>
  </si>
  <si>
    <t>Goal diff</t>
  </si>
  <si>
    <t>Won</t>
  </si>
  <si>
    <t>Lost</t>
  </si>
  <si>
    <t>Score</t>
  </si>
  <si>
    <t>Result</t>
  </si>
  <si>
    <t>Data</t>
  </si>
  <si>
    <t>Points</t>
  </si>
  <si>
    <t>Drew</t>
  </si>
  <si>
    <t>Standings</t>
  </si>
  <si>
    <t>Rank</t>
  </si>
  <si>
    <t>Order</t>
  </si>
  <si>
    <t>MatchNum</t>
  </si>
  <si>
    <t>Select Language</t>
  </si>
  <si>
    <t>Ελληνικά</t>
  </si>
  <si>
    <t>English</t>
  </si>
  <si>
    <t>Español</t>
  </si>
  <si>
    <t>русский</t>
  </si>
  <si>
    <t>中文</t>
  </si>
  <si>
    <t>عربى</t>
  </si>
  <si>
    <t>index</t>
  </si>
  <si>
    <t>Russie</t>
  </si>
  <si>
    <t>Russland</t>
  </si>
  <si>
    <t>Rusia</t>
  </si>
  <si>
    <t>Россия</t>
  </si>
  <si>
    <t>Ρωσία</t>
  </si>
  <si>
    <t>俄国</t>
  </si>
  <si>
    <t>روسيا</t>
  </si>
  <si>
    <t>Saudi Arabia</t>
  </si>
  <si>
    <t>Saudi Arabien</t>
  </si>
  <si>
    <t>Arabia Saudita</t>
  </si>
  <si>
    <t>Саудовская Аравия</t>
  </si>
  <si>
    <t>Σαουδική Αραβία</t>
  </si>
  <si>
    <t>沙特阿拉伯</t>
  </si>
  <si>
    <t>المملكة العربية السعودية</t>
  </si>
  <si>
    <t>Egypt</t>
  </si>
  <si>
    <t>Egypte</t>
  </si>
  <si>
    <t>Ägypten</t>
  </si>
  <si>
    <t>Egipto</t>
  </si>
  <si>
    <t>Египет</t>
  </si>
  <si>
    <t>Αίγυπτος</t>
  </si>
  <si>
    <t>埃及</t>
  </si>
  <si>
    <t>مصر</t>
  </si>
  <si>
    <t>Уругвай</t>
  </si>
  <si>
    <t>Ουρουγουάη</t>
  </si>
  <si>
    <t>乌拉圭</t>
  </si>
  <si>
    <t>أوروغواي</t>
  </si>
  <si>
    <t>le Portugal</t>
  </si>
  <si>
    <t>Португалия</t>
  </si>
  <si>
    <t>Πορτογαλία</t>
  </si>
  <si>
    <t>葡萄牙</t>
  </si>
  <si>
    <t>البرتغال</t>
  </si>
  <si>
    <t>Espagne</t>
  </si>
  <si>
    <t>Spanien</t>
  </si>
  <si>
    <t>España</t>
  </si>
  <si>
    <t>Испания</t>
  </si>
  <si>
    <t>Ισπανία</t>
  </si>
  <si>
    <t>西班牙</t>
  </si>
  <si>
    <t>إسبانيا</t>
  </si>
  <si>
    <t>Morocco</t>
  </si>
  <si>
    <t>Maroc</t>
  </si>
  <si>
    <t>Marokko</t>
  </si>
  <si>
    <t>Marruecos</t>
  </si>
  <si>
    <t>Марокко</t>
  </si>
  <si>
    <t>Μαρόκο</t>
  </si>
  <si>
    <t>摩洛哥</t>
  </si>
  <si>
    <t>المغرب</t>
  </si>
  <si>
    <t>Иран</t>
  </si>
  <si>
    <t>Ιράν</t>
  </si>
  <si>
    <t>伊朗</t>
  </si>
  <si>
    <t>إيران</t>
  </si>
  <si>
    <t>Frankreich</t>
  </si>
  <si>
    <t>Francia</t>
  </si>
  <si>
    <t>Франция</t>
  </si>
  <si>
    <t>Γαλλία</t>
  </si>
  <si>
    <t>法国</t>
  </si>
  <si>
    <t>فرنسا</t>
  </si>
  <si>
    <t>Australie</t>
  </si>
  <si>
    <t>Australien</t>
  </si>
  <si>
    <t>Австралия</t>
  </si>
  <si>
    <t>Αυστραλία</t>
  </si>
  <si>
    <t>澳大利亚</t>
  </si>
  <si>
    <t>أستراليا</t>
  </si>
  <si>
    <t>Peru</t>
  </si>
  <si>
    <t>Pérou</t>
  </si>
  <si>
    <t>Perú</t>
  </si>
  <si>
    <t>Перу</t>
  </si>
  <si>
    <t>Περού</t>
  </si>
  <si>
    <t>秘鲁</t>
  </si>
  <si>
    <t>بيرو</t>
  </si>
  <si>
    <t>Denmark</t>
  </si>
  <si>
    <t>Danemark</t>
  </si>
  <si>
    <t>Dänemark</t>
  </si>
  <si>
    <t>Dinamarca</t>
  </si>
  <si>
    <t>Дания</t>
  </si>
  <si>
    <t>Δανία</t>
  </si>
  <si>
    <t>丹麦</t>
  </si>
  <si>
    <t>الدنمارك</t>
  </si>
  <si>
    <t>Argentine</t>
  </si>
  <si>
    <t>Argentinien</t>
  </si>
  <si>
    <t>Аргентина</t>
  </si>
  <si>
    <t>阿根廷</t>
  </si>
  <si>
    <t>الأرجنتين</t>
  </si>
  <si>
    <t>Iceland</t>
  </si>
  <si>
    <t>Islande</t>
  </si>
  <si>
    <t>Island</t>
  </si>
  <si>
    <t>Islandia</t>
  </si>
  <si>
    <t>Исландия</t>
  </si>
  <si>
    <t>Ισλανδία</t>
  </si>
  <si>
    <t>冰岛</t>
  </si>
  <si>
    <t>أيسلندا</t>
  </si>
  <si>
    <t>Croatie</t>
  </si>
  <si>
    <t>Kroatien</t>
  </si>
  <si>
    <t>Croacia</t>
  </si>
  <si>
    <t>Хорватия</t>
  </si>
  <si>
    <t>Κροατία</t>
  </si>
  <si>
    <t>克罗地亚</t>
  </si>
  <si>
    <t>كرواتيا</t>
  </si>
  <si>
    <t>Нигерия</t>
  </si>
  <si>
    <t>Νιγηρία</t>
  </si>
  <si>
    <t>尼日利亚</t>
  </si>
  <si>
    <t>نيجيريا</t>
  </si>
  <si>
    <t>Brésil</t>
  </si>
  <si>
    <t>Brasilien</t>
  </si>
  <si>
    <t>Brasil</t>
  </si>
  <si>
    <t>Бразилия</t>
  </si>
  <si>
    <t>Βραζιλία</t>
  </si>
  <si>
    <t>巴西</t>
  </si>
  <si>
    <t>البرازيل</t>
  </si>
  <si>
    <t>Suisse</t>
  </si>
  <si>
    <t>Schweiz</t>
  </si>
  <si>
    <t>Suiza</t>
  </si>
  <si>
    <t>Швейцария</t>
  </si>
  <si>
    <t>Ελβετία</t>
  </si>
  <si>
    <t>瑞士</t>
  </si>
  <si>
    <t>سويسرا</t>
  </si>
  <si>
    <t>Коста-Рика</t>
  </si>
  <si>
    <t>Κόστα Ρίκα</t>
  </si>
  <si>
    <t>哥斯达黎加</t>
  </si>
  <si>
    <t>كوستا ريكا</t>
  </si>
  <si>
    <t>Serbia</t>
  </si>
  <si>
    <t>Serbie</t>
  </si>
  <si>
    <t>Serbien</t>
  </si>
  <si>
    <t>Сербия</t>
  </si>
  <si>
    <t>Σερβία</t>
  </si>
  <si>
    <t>塞尔维亚</t>
  </si>
  <si>
    <t>صربيا</t>
  </si>
  <si>
    <t>Allemagne</t>
  </si>
  <si>
    <t>Deutschland</t>
  </si>
  <si>
    <t>Alemania</t>
  </si>
  <si>
    <t>Германия</t>
  </si>
  <si>
    <t>Γερμανία</t>
  </si>
  <si>
    <t>德国</t>
  </si>
  <si>
    <t>ألمانيا</t>
  </si>
  <si>
    <t>Mexique</t>
  </si>
  <si>
    <t>Mexiko</t>
  </si>
  <si>
    <t>Мексика</t>
  </si>
  <si>
    <t>Μεξικό</t>
  </si>
  <si>
    <t>墨西哥</t>
  </si>
  <si>
    <t>المكسيك</t>
  </si>
  <si>
    <t>Sweden</t>
  </si>
  <si>
    <t>Suède</t>
  </si>
  <si>
    <t>Schweden</t>
  </si>
  <si>
    <t>Suecia</t>
  </si>
  <si>
    <t>Швеция</t>
  </si>
  <si>
    <t>Σουηδία</t>
  </si>
  <si>
    <t>瑞典</t>
  </si>
  <si>
    <t>السويد</t>
  </si>
  <si>
    <t>Corée du Sud</t>
  </si>
  <si>
    <t>Südkorea</t>
  </si>
  <si>
    <t>Corea del Sur</t>
  </si>
  <si>
    <t>Южная Корея</t>
  </si>
  <si>
    <t>Νότια Κορέα</t>
  </si>
  <si>
    <t>韩国</t>
  </si>
  <si>
    <t>كوريا الجنوبية</t>
  </si>
  <si>
    <t>Belgique</t>
  </si>
  <si>
    <t>Belgien</t>
  </si>
  <si>
    <t>Bélgica</t>
  </si>
  <si>
    <t>Бельгия</t>
  </si>
  <si>
    <t>Βέλγιο</t>
  </si>
  <si>
    <t>比利时</t>
  </si>
  <si>
    <t>بلجيكا</t>
  </si>
  <si>
    <t>Panama</t>
  </si>
  <si>
    <t>Panamá</t>
  </si>
  <si>
    <t>Панама</t>
  </si>
  <si>
    <t>Παναμάς</t>
  </si>
  <si>
    <t>巴拿马</t>
  </si>
  <si>
    <t>بناما</t>
  </si>
  <si>
    <t>Tunisia</t>
  </si>
  <si>
    <t>Tunisie</t>
  </si>
  <si>
    <t>Tunesien</t>
  </si>
  <si>
    <t>Túnez</t>
  </si>
  <si>
    <t>Тунис</t>
  </si>
  <si>
    <t>Τυνησία</t>
  </si>
  <si>
    <t>突尼斯</t>
  </si>
  <si>
    <t>تونس</t>
  </si>
  <si>
    <t>Angleterre</t>
  </si>
  <si>
    <t>Inglaterra</t>
  </si>
  <si>
    <t>Англия</t>
  </si>
  <si>
    <t>Αγγλία</t>
  </si>
  <si>
    <t>英国</t>
  </si>
  <si>
    <t>إنكلترا</t>
  </si>
  <si>
    <t>Poland</t>
  </si>
  <si>
    <t>Pologne</t>
  </si>
  <si>
    <t>Polen</t>
  </si>
  <si>
    <t>Polonia</t>
  </si>
  <si>
    <t>Польша</t>
  </si>
  <si>
    <t>Πολωνία</t>
  </si>
  <si>
    <t>波兰</t>
  </si>
  <si>
    <t>بولندا</t>
  </si>
  <si>
    <t>Senegal</t>
  </si>
  <si>
    <t>Sénégal</t>
  </si>
  <si>
    <t>Сенегал</t>
  </si>
  <si>
    <t>Σενεγάλη</t>
  </si>
  <si>
    <t>塞内加尔</t>
  </si>
  <si>
    <t>السنغال</t>
  </si>
  <si>
    <t>Colombie</t>
  </si>
  <si>
    <t>Kolumbien</t>
  </si>
  <si>
    <t>Колумбия</t>
  </si>
  <si>
    <t>Κολομβία</t>
  </si>
  <si>
    <t>哥伦比亚</t>
  </si>
  <si>
    <t>كولومبيا</t>
  </si>
  <si>
    <t>Japon</t>
  </si>
  <si>
    <t>Japón</t>
  </si>
  <si>
    <t>Япония</t>
  </si>
  <si>
    <t>Ιαπωνία</t>
  </si>
  <si>
    <t>日本</t>
  </si>
  <si>
    <t>اليابان</t>
  </si>
  <si>
    <t>2018 Winner</t>
  </si>
  <si>
    <t>1. Consolidated data from user interface</t>
  </si>
  <si>
    <t>2. Input data rearraged for array operations</t>
  </si>
  <si>
    <t>3. Evaluation of standings</t>
  </si>
  <si>
    <t xml:space="preserve"> Moscow</t>
  </si>
  <si>
    <t xml:space="preserve"> Ekaterinburg</t>
  </si>
  <si>
    <t xml:space="preserve"> Saint Petersburg</t>
  </si>
  <si>
    <t xml:space="preserve"> Rostov-on-Don</t>
  </si>
  <si>
    <t xml:space="preserve"> Samara</t>
  </si>
  <si>
    <t xml:space="preserve"> Volgograd</t>
  </si>
  <si>
    <t xml:space="preserve"> Sochi</t>
  </si>
  <si>
    <t xml:space="preserve"> Kazan</t>
  </si>
  <si>
    <t xml:space="preserve"> Saransk</t>
  </si>
  <si>
    <t xml:space="preserve"> Kaliningrad</t>
  </si>
  <si>
    <t xml:space="preserve"> Nizhny Novgorod</t>
  </si>
  <si>
    <t>Sunday</t>
  </si>
  <si>
    <t>Monday</t>
  </si>
  <si>
    <t>Saturday</t>
  </si>
  <si>
    <t>Wednesday</t>
  </si>
  <si>
    <t>Tuesday</t>
  </si>
  <si>
    <t>Thursday</t>
  </si>
  <si>
    <t>Friday</t>
  </si>
  <si>
    <t>Team</t>
  </si>
  <si>
    <t>Opponent</t>
  </si>
  <si>
    <t>Goals scored</t>
  </si>
  <si>
    <t>team1.country</t>
  </si>
  <si>
    <t>team2.country</t>
  </si>
  <si>
    <t>team1.score</t>
  </si>
  <si>
    <t>cell.location</t>
  </si>
  <si>
    <t>CountryLists</t>
  </si>
  <si>
    <t>Groups.English</t>
  </si>
  <si>
    <t>Groups.TeamIndices</t>
  </si>
  <si>
    <t>Groups</t>
  </si>
  <si>
    <t>idx</t>
  </si>
  <si>
    <t>GamesTable</t>
  </si>
  <si>
    <t>Table2</t>
  </si>
  <si>
    <t>country.name</t>
  </si>
  <si>
    <t>CountryName.Loc</t>
  </si>
  <si>
    <t>iso</t>
  </si>
  <si>
    <t>Flags</t>
  </si>
  <si>
    <t>flags</t>
  </si>
  <si>
    <t>Team1.English</t>
  </si>
  <si>
    <t>Team2English</t>
  </si>
  <si>
    <t>Team1</t>
  </si>
  <si>
    <t>Team2</t>
  </si>
  <si>
    <t>Team1Num</t>
  </si>
  <si>
    <t>Team2Num</t>
  </si>
  <si>
    <t>Team3</t>
  </si>
  <si>
    <t>Team4</t>
  </si>
  <si>
    <t>Country1</t>
  </si>
  <si>
    <t>Country2</t>
  </si>
  <si>
    <t>Country3</t>
  </si>
  <si>
    <t>Country4</t>
  </si>
  <si>
    <t>Country5</t>
  </si>
  <si>
    <t>Country6</t>
  </si>
  <si>
    <t>Country7</t>
  </si>
  <si>
    <t>Country8</t>
  </si>
  <si>
    <t>Country9</t>
  </si>
  <si>
    <t>Country10</t>
  </si>
  <si>
    <t>Country11</t>
  </si>
  <si>
    <t>Country12</t>
  </si>
  <si>
    <t>Country13</t>
  </si>
  <si>
    <t>Country14</t>
  </si>
  <si>
    <t>Country15</t>
  </si>
  <si>
    <t>Country16</t>
  </si>
  <si>
    <t>Country17</t>
  </si>
  <si>
    <t>Country18</t>
  </si>
  <si>
    <t>Country19</t>
  </si>
  <si>
    <t>Country20</t>
  </si>
  <si>
    <t>Country21</t>
  </si>
  <si>
    <t>Country22</t>
  </si>
  <si>
    <t>Country23</t>
  </si>
  <si>
    <t>Country24</t>
  </si>
  <si>
    <t>Country25</t>
  </si>
  <si>
    <t>Country26</t>
  </si>
  <si>
    <t>Country27</t>
  </si>
  <si>
    <t>Country28</t>
  </si>
  <si>
    <t>Country29</t>
  </si>
  <si>
    <t>Country30</t>
  </si>
  <si>
    <t>Country31</t>
  </si>
  <si>
    <t>Country32</t>
  </si>
  <si>
    <t>English Names</t>
  </si>
  <si>
    <t>Indices</t>
  </si>
  <si>
    <t>Match1</t>
  </si>
  <si>
    <t>Match2</t>
  </si>
  <si>
    <t>Match3</t>
  </si>
  <si>
    <t>Match4</t>
  </si>
  <si>
    <t>Match5</t>
  </si>
  <si>
    <t>Match6</t>
  </si>
  <si>
    <t>GroupMatchTeam1</t>
  </si>
  <si>
    <t>GroupMatchTeam2</t>
  </si>
  <si>
    <t>Index</t>
  </si>
  <si>
    <t>Team Index</t>
  </si>
  <si>
    <t>team.index</t>
  </si>
  <si>
    <t>team.list</t>
  </si>
  <si>
    <t>team.index.alpha</t>
  </si>
  <si>
    <t>group.index</t>
  </si>
  <si>
    <t>data.array</t>
  </si>
  <si>
    <t>played.array</t>
  </si>
  <si>
    <t>score.array</t>
  </si>
  <si>
    <t>match.result</t>
  </si>
  <si>
    <t>order</t>
  </si>
  <si>
    <t>standings</t>
  </si>
  <si>
    <t>(Includes wins, draws, goal.diff, goals.for)</t>
  </si>
  <si>
    <t>Countries (English)</t>
  </si>
  <si>
    <t>4. Detemine ranking and order in group</t>
  </si>
  <si>
    <t>team.order</t>
  </si>
  <si>
    <t>Ordered list</t>
  </si>
  <si>
    <t>Group A</t>
  </si>
  <si>
    <t>Group B</t>
  </si>
  <si>
    <t>Group C</t>
  </si>
  <si>
    <t>Group D</t>
  </si>
  <si>
    <t>Group E</t>
  </si>
  <si>
    <t>Group F</t>
  </si>
  <si>
    <t>Group G</t>
  </si>
  <si>
    <t>Group H</t>
  </si>
  <si>
    <t>¶</t>
  </si>
  <si>
    <t>Arabie Saoudi</t>
  </si>
  <si>
    <t>Full name</t>
  </si>
  <si>
    <t>Σ. Αραβία</t>
  </si>
  <si>
    <t>С. Аравия</t>
  </si>
  <si>
    <t xml:space="preserve"> ا السعودية</t>
  </si>
  <si>
    <t>Select Language :</t>
  </si>
  <si>
    <t>Arabia S.</t>
  </si>
  <si>
    <t>Irán</t>
  </si>
  <si>
    <t>México</t>
  </si>
  <si>
    <t>Français</t>
  </si>
  <si>
    <t>Αργεντινή</t>
  </si>
  <si>
    <t>Group B Winner</t>
  </si>
  <si>
    <t>Group B Runner-up</t>
  </si>
  <si>
    <t>Group C Winner</t>
  </si>
  <si>
    <t>Group C Runner-up</t>
  </si>
  <si>
    <t>Group D Winner</t>
  </si>
  <si>
    <t>Group D Runner-up</t>
  </si>
  <si>
    <t>Group H Winner</t>
  </si>
  <si>
    <t>Group H Runner-up</t>
  </si>
  <si>
    <t>Group G Winner</t>
  </si>
  <si>
    <t>Group G Runner-up</t>
  </si>
  <si>
    <t>Group F Winner</t>
  </si>
  <si>
    <t>Group F Runner-up</t>
  </si>
  <si>
    <t>Group E Winner</t>
  </si>
  <si>
    <t>Group E Runner-up</t>
  </si>
  <si>
    <t>Deutsch</t>
  </si>
  <si>
    <t>فارسی</t>
  </si>
  <si>
    <t>روسیه</t>
  </si>
  <si>
    <t>عربستان</t>
  </si>
  <si>
    <t>اروگوئه</t>
  </si>
  <si>
    <t>پرتغال</t>
  </si>
  <si>
    <t>اسپانیا</t>
  </si>
  <si>
    <t>مراکش</t>
  </si>
  <si>
    <t>ایران</t>
  </si>
  <si>
    <t>فرانسه</t>
  </si>
  <si>
    <t>استرالیا</t>
  </si>
  <si>
    <t>پرو</t>
  </si>
  <si>
    <t>دانمارک</t>
  </si>
  <si>
    <t>آرژانتین</t>
  </si>
  <si>
    <t>ایسلند</t>
  </si>
  <si>
    <t>کروواسی</t>
  </si>
  <si>
    <t>نیجریه</t>
  </si>
  <si>
    <t>برزیل</t>
  </si>
  <si>
    <t>سوییس</t>
  </si>
  <si>
    <t>کاستاریکا</t>
  </si>
  <si>
    <t>صربستان</t>
  </si>
  <si>
    <t>آلمان</t>
  </si>
  <si>
    <t>مکزیک</t>
  </si>
  <si>
    <t>سوئد</t>
  </si>
  <si>
    <t>کره جنوبی</t>
  </si>
  <si>
    <t>بلژیک</t>
  </si>
  <si>
    <t>پاناما</t>
  </si>
  <si>
    <t>انگلستان</t>
  </si>
  <si>
    <t>لهستان</t>
  </si>
  <si>
    <t>سنگال</t>
  </si>
  <si>
    <t>کلمبیا</t>
  </si>
  <si>
    <t>ژاپن</t>
  </si>
  <si>
    <t>جدول رده بندی</t>
  </si>
  <si>
    <t>ش</t>
  </si>
  <si>
    <t>تاریخ</t>
  </si>
  <si>
    <t>تیم اول</t>
  </si>
  <si>
    <t>تیم دوم</t>
  </si>
  <si>
    <t>Group Winner</t>
  </si>
  <si>
    <t>Group Runner-up</t>
  </si>
  <si>
    <t>تیم اول گروه</t>
  </si>
  <si>
    <t>تیم دوم گروه</t>
  </si>
  <si>
    <t>محل برگزاری</t>
  </si>
  <si>
    <t>Knockout Stage</t>
  </si>
  <si>
    <t>مرحله حذفی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</si>
</sst>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"/>
    <numFmt numFmtId="165" formatCode="ddd\ dd/m"/>
    <numFmt numFmtId="166" formatCode="&quot;Group&quot;\ General"/>
    <numFmt numFmtId="167" formatCode="&quot;Complete&quot;;&quot;ERROR&quot;;&quot;Incomplete&quot;"/>
  </numFmts>
  <fonts count="3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Microsoft Tai Le"/>
      <family val="2"/>
    </font>
    <font>
      <b/>
      <sz val="28"/>
      <color rgb="FFFF0000"/>
      <name val="Microsoft Tai Le"/>
      <family val="2"/>
    </font>
    <font>
      <sz val="10"/>
      <color theme="1"/>
      <name val="Arial"/>
      <family val="2"/>
      <scheme val="minor"/>
    </font>
    <font>
      <sz val="10"/>
      <color theme="1"/>
      <name val="Microsoft Tai Le"/>
      <family val="2"/>
    </font>
    <font>
      <sz val="11"/>
      <color theme="9" tint="-0.499984740745262"/>
      <name val="Arial"/>
      <family val="2"/>
      <scheme val="minor"/>
    </font>
    <font>
      <b/>
      <sz val="28"/>
      <color theme="9" tint="-0.249977111117893"/>
      <name val="Microsoft Tai Le"/>
      <family val="2"/>
    </font>
    <font>
      <sz val="28"/>
      <color theme="9" tint="-0.249977111117893"/>
      <name val="Microsoft Tai Le"/>
      <family val="2"/>
    </font>
    <font>
      <sz val="11"/>
      <color rgb="FF3F3F76"/>
      <name val="Arial"/>
      <family val="2"/>
      <scheme val="minor"/>
    </font>
    <font>
      <sz val="14"/>
      <color rgb="FF3F3F76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3" tint="-0.499984740745262"/>
      <name val="Microsoft Tai Le"/>
      <family val="2"/>
    </font>
    <font>
      <sz val="11"/>
      <color theme="3" tint="-0.499984740745262"/>
      <name val="Arial"/>
      <family val="2"/>
      <scheme val="minor"/>
    </font>
    <font>
      <b/>
      <sz val="11"/>
      <color theme="0"/>
      <name val="Microsoft Tai Le"/>
      <family val="2"/>
    </font>
    <font>
      <b/>
      <sz val="26"/>
      <color theme="3" tint="-0.249977111117893"/>
      <name val="Microsoft Tai Le"/>
      <family val="2"/>
    </font>
    <font>
      <sz val="18"/>
      <color theme="7" tint="-0.499984740745262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theme="0"/>
      <name val="Microsoft Tai Le"/>
      <family val="2"/>
    </font>
    <font>
      <b/>
      <sz val="14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rgb="FFC00000"/>
      <name val="Arial"/>
      <family val="2"/>
      <scheme val="minor"/>
    </font>
    <font>
      <sz val="11"/>
      <color rgb="FFC00000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4"/>
      <color rgb="FFFFFF00"/>
      <name val="Arial"/>
      <family val="2"/>
      <scheme val="minor"/>
    </font>
    <font>
      <i/>
      <sz val="11"/>
      <color theme="3"/>
      <name val="Arial"/>
      <family val="2"/>
      <scheme val="minor"/>
    </font>
    <font>
      <i/>
      <sz val="10"/>
      <color theme="9" tint="-0.249977111117893"/>
      <name val="Arial"/>
      <family val="2"/>
      <scheme val="minor"/>
    </font>
    <font>
      <i/>
      <sz val="10"/>
      <color theme="3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theme="1"/>
      <name val="Calibri"/>
      <family val="2"/>
    </font>
    <font>
      <i/>
      <sz val="11"/>
      <color theme="1" tint="0.499984740745262"/>
      <name val="Arial"/>
      <family val="2"/>
      <scheme val="minor"/>
    </font>
    <font>
      <sz val="11"/>
      <color theme="0"/>
      <name val="Berlin Sans FB Demi"/>
      <family val="2"/>
    </font>
    <font>
      <sz val="11"/>
      <color theme="1"/>
      <name val="Berlin Sans FB Demi"/>
      <family val="2"/>
    </font>
    <font>
      <sz val="11"/>
      <color theme="0" tint="-4.9989318521683403E-2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2E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C00000"/>
        <bgColor auto="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02B1A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 tint="-0.499984740745262"/>
      </right>
      <top style="thin">
        <color theme="0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2" borderId="0"/>
    <xf numFmtId="0" fontId="9" fillId="4" borderId="6" applyNumberFormat="0" applyAlignment="0" applyProtection="0"/>
  </cellStyleXfs>
  <cellXfs count="178">
    <xf numFmtId="0" fontId="0" fillId="2" borderId="0" xfId="0"/>
    <xf numFmtId="0" fontId="0" fillId="2" borderId="0" xfId="0" applyAlignment="1">
      <alignment vertical="center"/>
    </xf>
    <xf numFmtId="0" fontId="0" fillId="2" borderId="0" xfId="0" applyAlignment="1">
      <alignment horizontal="center" vertical="center"/>
    </xf>
    <xf numFmtId="0" fontId="2" fillId="2" borderId="0" xfId="0" applyFont="1" applyAlignment="1">
      <alignment horizontal="right"/>
    </xf>
    <xf numFmtId="0" fontId="0" fillId="2" borderId="0" xfId="0" applyFont="1" applyAlignment="1">
      <alignment horizontal="right"/>
    </xf>
    <xf numFmtId="0" fontId="3" fillId="2" borderId="0" xfId="0" applyFont="1" applyFill="1" applyAlignment="1">
      <alignment horizontal="centerContinuous" vertical="center"/>
    </xf>
    <xf numFmtId="0" fontId="0" fillId="2" borderId="0" xfId="0" applyAlignment="1">
      <alignment horizontal="center"/>
    </xf>
    <xf numFmtId="14" fontId="0" fillId="2" borderId="0" xfId="0" applyNumberFormat="1" applyAlignment="1">
      <alignment horizontal="center" vertical="center"/>
    </xf>
    <xf numFmtId="0" fontId="0" fillId="2" borderId="0" xfId="0" applyFill="1" applyAlignment="1">
      <alignment horizontal="centerContinuous"/>
    </xf>
    <xf numFmtId="0" fontId="4" fillId="2" borderId="0" xfId="0" applyFont="1" applyAlignment="1" applyProtection="1">
      <alignment horizontal="center"/>
      <protection hidden="1"/>
    </xf>
    <xf numFmtId="0" fontId="4" fillId="2" borderId="0" xfId="0" applyFont="1" applyProtection="1">
      <protection hidden="1"/>
    </xf>
    <xf numFmtId="0" fontId="0" fillId="2" borderId="0" xfId="0" applyProtection="1">
      <protection hidden="1"/>
    </xf>
    <xf numFmtId="0" fontId="0" fillId="2" borderId="0" xfId="0" applyBorder="1"/>
    <xf numFmtId="0" fontId="0" fillId="2" borderId="0" xfId="0" applyBorder="1" applyProtection="1">
      <protection hidden="1"/>
    </xf>
    <xf numFmtId="0" fontId="6" fillId="2" borderId="0" xfId="0" applyFont="1" applyAlignment="1">
      <alignment horizontal="center" vertical="center"/>
    </xf>
    <xf numFmtId="0" fontId="7" fillId="2" borderId="0" xfId="0" applyFont="1" applyFill="1" applyAlignment="1">
      <alignment horizontal="centerContinuous" vertical="center"/>
    </xf>
    <xf numFmtId="1" fontId="0" fillId="2" borderId="0" xfId="0" applyNumberFormat="1" applyProtection="1">
      <protection hidden="1"/>
    </xf>
    <xf numFmtId="1" fontId="0" fillId="2" borderId="0" xfId="0" applyNumberFormat="1" applyBorder="1" applyProtection="1">
      <protection hidden="1"/>
    </xf>
    <xf numFmtId="164" fontId="0" fillId="2" borderId="0" xfId="0" applyNumberFormat="1"/>
    <xf numFmtId="0" fontId="6" fillId="3" borderId="0" xfId="0" applyFont="1" applyFill="1" applyAlignment="1">
      <alignment horizontal="center" vertical="center"/>
    </xf>
    <xf numFmtId="0" fontId="10" fillId="4" borderId="6" xfId="1" applyFont="1" applyAlignment="1" applyProtection="1">
      <alignment horizontal="center" vertical="center"/>
      <protection locked="0"/>
    </xf>
    <xf numFmtId="0" fontId="11" fillId="2" borderId="0" xfId="0" applyFont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Border="1"/>
    <xf numFmtId="0" fontId="13" fillId="4" borderId="0" xfId="0" applyFont="1" applyFill="1" applyBorder="1"/>
    <xf numFmtId="0" fontId="12" fillId="4" borderId="0" xfId="0" applyFont="1" applyFill="1" applyBorder="1"/>
    <xf numFmtId="0" fontId="0" fillId="4" borderId="19" xfId="0" applyFill="1" applyBorder="1"/>
    <xf numFmtId="0" fontId="9" fillId="4" borderId="6" xfId="1" applyAlignment="1">
      <alignment vertical="center"/>
    </xf>
    <xf numFmtId="0" fontId="9" fillId="4" borderId="6" xfId="1" applyAlignment="1">
      <alignment horizontal="center" vertical="center"/>
    </xf>
    <xf numFmtId="0" fontId="9" fillId="3" borderId="6" xfId="1" applyFill="1"/>
    <xf numFmtId="0" fontId="9" fillId="5" borderId="6" xfId="1" applyFill="1"/>
    <xf numFmtId="0" fontId="0" fillId="2" borderId="0" xfId="0" applyFont="1"/>
    <xf numFmtId="0" fontId="0" fillId="2" borderId="0" xfId="0" applyFont="1" applyBorder="1"/>
    <xf numFmtId="0" fontId="17" fillId="2" borderId="0" xfId="0" applyFont="1"/>
    <xf numFmtId="0" fontId="0" fillId="2" borderId="40" xfId="0" applyBorder="1"/>
    <xf numFmtId="0" fontId="0" fillId="2" borderId="41" xfId="0" applyBorder="1"/>
    <xf numFmtId="0" fontId="0" fillId="2" borderId="42" xfId="0" applyBorder="1"/>
    <xf numFmtId="0" fontId="1" fillId="6" borderId="0" xfId="0" applyFont="1" applyFill="1" applyAlignment="1">
      <alignment horizontal="left" vertical="center" indent="1"/>
    </xf>
    <xf numFmtId="0" fontId="15" fillId="7" borderId="0" xfId="0" applyFont="1" applyFill="1" applyAlignment="1">
      <alignment horizontal="left" vertical="center" indent="1"/>
    </xf>
    <xf numFmtId="0" fontId="15" fillId="8" borderId="0" xfId="0" applyFont="1" applyFill="1" applyAlignment="1">
      <alignment horizontal="left" vertical="center" indent="1"/>
    </xf>
    <xf numFmtId="0" fontId="18" fillId="9" borderId="1" xfId="0" applyFont="1" applyFill="1" applyBorder="1" applyAlignment="1">
      <alignment horizontal="left" indent="1"/>
    </xf>
    <xf numFmtId="0" fontId="18" fillId="9" borderId="0" xfId="0" applyFont="1" applyFill="1" applyBorder="1" applyAlignment="1">
      <alignment horizontal="left" indent="1"/>
    </xf>
    <xf numFmtId="0" fontId="18" fillId="10" borderId="1" xfId="0" applyFont="1" applyFill="1" applyBorder="1" applyAlignment="1">
      <alignment horizontal="left" indent="1"/>
    </xf>
    <xf numFmtId="0" fontId="18" fillId="10" borderId="0" xfId="0" applyFont="1" applyFill="1" applyBorder="1" applyAlignment="1">
      <alignment horizontal="left" indent="1"/>
    </xf>
    <xf numFmtId="0" fontId="1" fillId="11" borderId="44" xfId="0" applyFont="1" applyFill="1" applyBorder="1"/>
    <xf numFmtId="0" fontId="0" fillId="4" borderId="45" xfId="0" applyFill="1" applyBorder="1"/>
    <xf numFmtId="0" fontId="0" fillId="3" borderId="46" xfId="0" applyFill="1" applyBorder="1"/>
    <xf numFmtId="166" fontId="1" fillId="12" borderId="0" xfId="0" applyNumberFormat="1" applyFont="1" applyFill="1"/>
    <xf numFmtId="0" fontId="0" fillId="2" borderId="0" xfId="0" applyAlignment="1">
      <alignment horizontal="left"/>
    </xf>
    <xf numFmtId="0" fontId="1" fillId="11" borderId="26" xfId="0" applyFont="1" applyFill="1" applyBorder="1"/>
    <xf numFmtId="0" fontId="0" fillId="13" borderId="47" xfId="0" applyFont="1" applyFill="1" applyBorder="1"/>
    <xf numFmtId="0" fontId="0" fillId="13" borderId="46" xfId="0" applyFont="1" applyFill="1" applyBorder="1"/>
    <xf numFmtId="0" fontId="0" fillId="2" borderId="47" xfId="0" applyFont="1" applyBorder="1"/>
    <xf numFmtId="0" fontId="0" fillId="2" borderId="46" xfId="0" applyFont="1" applyBorder="1"/>
    <xf numFmtId="0" fontId="19" fillId="14" borderId="11" xfId="0" applyFont="1" applyFill="1" applyBorder="1" applyAlignment="1">
      <alignment horizontal="right" vertical="center"/>
    </xf>
    <xf numFmtId="0" fontId="1" fillId="14" borderId="11" xfId="0" applyFont="1" applyFill="1" applyBorder="1" applyAlignment="1">
      <alignment horizontal="center" vertical="center"/>
    </xf>
    <xf numFmtId="0" fontId="19" fillId="14" borderId="10" xfId="0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14" fillId="6" borderId="8" xfId="0" applyFont="1" applyFill="1" applyBorder="1" applyAlignment="1">
      <alignment horizontal="centerContinuous" vertical="center"/>
    </xf>
    <xf numFmtId="0" fontId="14" fillId="6" borderId="9" xfId="0" applyFont="1" applyFill="1" applyBorder="1" applyAlignment="1">
      <alignment horizontal="centerContinuous"/>
    </xf>
    <xf numFmtId="0" fontId="2" fillId="15" borderId="0" xfId="0" applyFont="1" applyFill="1" applyAlignment="1">
      <alignment horizontal="right" vertical="center"/>
    </xf>
    <xf numFmtId="0" fontId="0" fillId="15" borderId="0" xfId="0" applyFill="1"/>
    <xf numFmtId="0" fontId="2" fillId="15" borderId="0" xfId="0" applyFont="1" applyFill="1" applyAlignment="1" applyProtection="1">
      <alignment horizontal="left" vertical="center"/>
    </xf>
    <xf numFmtId="0" fontId="2" fillId="16" borderId="5" xfId="0" applyFont="1" applyFill="1" applyBorder="1" applyAlignment="1" applyProtection="1">
      <alignment horizontal="center" vertical="center"/>
      <protection hidden="1"/>
    </xf>
    <xf numFmtId="1" fontId="2" fillId="16" borderId="5" xfId="0" applyNumberFormat="1" applyFont="1" applyFill="1" applyBorder="1" applyAlignment="1" applyProtection="1">
      <alignment horizontal="center" vertical="center"/>
      <protection hidden="1"/>
    </xf>
    <xf numFmtId="0" fontId="20" fillId="15" borderId="0" xfId="0" applyFont="1" applyFill="1"/>
    <xf numFmtId="0" fontId="21" fillId="4" borderId="19" xfId="0" applyFont="1" applyFill="1" applyBorder="1" applyAlignment="1">
      <alignment vertical="top"/>
    </xf>
    <xf numFmtId="0" fontId="22" fillId="4" borderId="19" xfId="0" applyFont="1" applyFill="1" applyBorder="1" applyAlignment="1">
      <alignment vertical="top"/>
    </xf>
    <xf numFmtId="0" fontId="0" fillId="2" borderId="0" xfId="0" applyBorder="1" applyAlignment="1">
      <alignment horizontal="center"/>
    </xf>
    <xf numFmtId="0" fontId="0" fillId="4" borderId="48" xfId="0" applyFill="1" applyBorder="1"/>
    <xf numFmtId="0" fontId="0" fillId="4" borderId="49" xfId="0" applyFill="1" applyBorder="1"/>
    <xf numFmtId="0" fontId="0" fillId="4" borderId="50" xfId="0" applyFill="1" applyBorder="1"/>
    <xf numFmtId="0" fontId="0" fillId="4" borderId="51" xfId="0" applyFill="1" applyBorder="1"/>
    <xf numFmtId="0" fontId="0" fillId="4" borderId="27" xfId="0" applyFill="1" applyBorder="1"/>
    <xf numFmtId="0" fontId="0" fillId="4" borderId="26" xfId="0" applyFill="1" applyBorder="1"/>
    <xf numFmtId="0" fontId="23" fillId="4" borderId="0" xfId="0" applyFont="1" applyFill="1" applyBorder="1"/>
    <xf numFmtId="166" fontId="0" fillId="4" borderId="26" xfId="0" applyNumberFormat="1" applyFill="1" applyBorder="1" applyAlignment="1">
      <alignment horizontal="left"/>
    </xf>
    <xf numFmtId="0" fontId="0" fillId="4" borderId="28" xfId="0" applyFill="1" applyBorder="1"/>
    <xf numFmtId="0" fontId="0" fillId="4" borderId="29" xfId="0" applyFill="1" applyBorder="1"/>
    <xf numFmtId="0" fontId="0" fillId="4" borderId="36" xfId="0" applyFill="1" applyBorder="1"/>
    <xf numFmtId="0" fontId="0" fillId="4" borderId="40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37" xfId="0" applyFill="1" applyBorder="1"/>
    <xf numFmtId="0" fontId="0" fillId="4" borderId="41" xfId="0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38" xfId="0" applyFill="1" applyBorder="1"/>
    <xf numFmtId="0" fontId="0" fillId="4" borderId="42" xfId="0" applyFill="1" applyBorder="1"/>
    <xf numFmtId="0" fontId="0" fillId="4" borderId="34" xfId="0" applyFill="1" applyBorder="1"/>
    <xf numFmtId="0" fontId="0" fillId="4" borderId="35" xfId="0" applyFill="1" applyBorder="1"/>
    <xf numFmtId="0" fontId="0" fillId="4" borderId="39" xfId="0" applyFill="1" applyBorder="1"/>
    <xf numFmtId="0" fontId="0" fillId="4" borderId="43" xfId="0" applyFill="1" applyBorder="1"/>
    <xf numFmtId="0" fontId="0" fillId="4" borderId="52" xfId="0" applyFill="1" applyBorder="1"/>
    <xf numFmtId="0" fontId="0" fillId="4" borderId="53" xfId="0" applyFill="1" applyBorder="1"/>
    <xf numFmtId="0" fontId="9" fillId="4" borderId="16" xfId="1" applyBorder="1" applyAlignment="1">
      <alignment vertical="center"/>
    </xf>
    <xf numFmtId="0" fontId="9" fillId="4" borderId="16" xfId="1" applyBorder="1" applyAlignment="1">
      <alignment horizontal="center" vertical="center"/>
    </xf>
    <xf numFmtId="0" fontId="9" fillId="3" borderId="16" xfId="1" applyFill="1" applyBorder="1"/>
    <xf numFmtId="0" fontId="0" fillId="16" borderId="26" xfId="0" applyFill="1" applyBorder="1" applyAlignment="1">
      <alignment horizontal="center" vertical="center"/>
    </xf>
    <xf numFmtId="0" fontId="0" fillId="2" borderId="0" xfId="0" applyAlignment="1">
      <alignment horizontal="left" vertical="center"/>
    </xf>
    <xf numFmtId="0" fontId="2" fillId="15" borderId="0" xfId="0" applyFont="1" applyFill="1" applyAlignment="1">
      <alignment horizontal="left" vertical="center"/>
    </xf>
    <xf numFmtId="0" fontId="2" fillId="2" borderId="0" xfId="0" applyFont="1" applyAlignment="1">
      <alignment horizontal="left" vertical="center"/>
    </xf>
    <xf numFmtId="0" fontId="25" fillId="2" borderId="0" xfId="0" applyFont="1" applyAlignment="1">
      <alignment vertical="center"/>
    </xf>
    <xf numFmtId="167" fontId="0" fillId="4" borderId="26" xfId="0" applyNumberFormat="1" applyFill="1" applyBorder="1" applyAlignment="1">
      <alignment horizontal="left"/>
    </xf>
    <xf numFmtId="0" fontId="26" fillId="4" borderId="0" xfId="0" applyFont="1" applyFill="1" applyAlignment="1">
      <alignment vertical="top"/>
    </xf>
    <xf numFmtId="0" fontId="26" fillId="2" borderId="0" xfId="0" applyFont="1"/>
    <xf numFmtId="0" fontId="26" fillId="2" borderId="0" xfId="0" applyFont="1" applyAlignment="1">
      <alignment horizontal="left" vertical="center"/>
    </xf>
    <xf numFmtId="0" fontId="26" fillId="2" borderId="0" xfId="0" applyFont="1" applyAlignment="1">
      <alignment vertical="center"/>
    </xf>
    <xf numFmtId="0" fontId="26" fillId="2" borderId="0" xfId="0" applyFont="1" applyAlignment="1">
      <alignment horizontal="center" vertical="center"/>
    </xf>
    <xf numFmtId="0" fontId="25" fillId="2" borderId="0" xfId="0" applyFont="1" applyAlignment="1">
      <alignment horizontal="right"/>
    </xf>
    <xf numFmtId="0" fontId="27" fillId="2" borderId="0" xfId="0" applyFont="1" applyAlignment="1">
      <alignment horizontal="right"/>
    </xf>
    <xf numFmtId="0" fontId="25" fillId="2" borderId="0" xfId="0" applyFont="1" applyBorder="1" applyAlignment="1">
      <alignment horizontal="right"/>
    </xf>
    <xf numFmtId="166" fontId="1" fillId="6" borderId="0" xfId="0" applyNumberFormat="1" applyFont="1" applyFill="1"/>
    <xf numFmtId="0" fontId="26" fillId="4" borderId="0" xfId="0" applyFont="1" applyFill="1"/>
    <xf numFmtId="0" fontId="0" fillId="17" borderId="26" xfId="0" applyFill="1" applyBorder="1"/>
    <xf numFmtId="0" fontId="9" fillId="4" borderId="6" xfId="1" applyAlignment="1">
      <alignment horizontal="left" vertical="center"/>
    </xf>
    <xf numFmtId="0" fontId="5" fillId="15" borderId="0" xfId="0" applyFont="1" applyFill="1" applyAlignment="1">
      <alignment horizontal="center" vertical="center"/>
    </xf>
    <xf numFmtId="0" fontId="28" fillId="14" borderId="10" xfId="0" applyFont="1" applyFill="1" applyBorder="1" applyAlignment="1">
      <alignment horizontal="center" vertical="center"/>
    </xf>
    <xf numFmtId="0" fontId="9" fillId="4" borderId="56" xfId="1" applyBorder="1" applyAlignment="1">
      <alignment vertical="center"/>
    </xf>
    <xf numFmtId="0" fontId="9" fillId="4" borderId="57" xfId="1" applyBorder="1" applyAlignment="1">
      <alignment vertical="center"/>
    </xf>
    <xf numFmtId="0" fontId="0" fillId="16" borderId="58" xfId="0" applyFill="1" applyBorder="1" applyAlignment="1">
      <alignment horizontal="center" vertical="center"/>
    </xf>
    <xf numFmtId="0" fontId="9" fillId="2" borderId="0" xfId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0" fillId="0" borderId="3" xfId="0" applyFill="1" applyBorder="1"/>
    <xf numFmtId="0" fontId="0" fillId="0" borderId="7" xfId="0" applyFill="1" applyBorder="1"/>
    <xf numFmtId="0" fontId="5" fillId="0" borderId="4" xfId="0" applyFont="1" applyFill="1" applyBorder="1" applyAlignment="1" applyProtection="1">
      <alignment horizontal="center" vertical="center"/>
      <protection hidden="1"/>
    </xf>
    <xf numFmtId="165" fontId="5" fillId="0" borderId="4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1" fontId="2" fillId="0" borderId="5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horizontal="center" vertical="center"/>
    </xf>
    <xf numFmtId="0" fontId="9" fillId="4" borderId="6" xfId="1"/>
    <xf numFmtId="0" fontId="29" fillId="2" borderId="0" xfId="0" applyFont="1" applyAlignment="1">
      <alignment horizontal="right"/>
    </xf>
    <xf numFmtId="0" fontId="9" fillId="4" borderId="61" xfId="1" applyFill="1" applyBorder="1" applyAlignment="1">
      <alignment horizontal="center" vertical="center"/>
    </xf>
    <xf numFmtId="0" fontId="30" fillId="2" borderId="0" xfId="0" applyFont="1" applyAlignment="1">
      <alignment vertical="center"/>
    </xf>
    <xf numFmtId="0" fontId="0" fillId="13" borderId="26" xfId="0" applyFont="1" applyFill="1" applyBorder="1"/>
    <xf numFmtId="0" fontId="0" fillId="13" borderId="26" xfId="0" applyFont="1" applyFill="1" applyBorder="1" applyAlignment="1">
      <alignment horizontal="left"/>
    </xf>
    <xf numFmtId="0" fontId="33" fillId="2" borderId="0" xfId="0" applyFont="1"/>
    <xf numFmtId="0" fontId="14" fillId="18" borderId="13" xfId="0" applyFont="1" applyFill="1" applyBorder="1" applyAlignment="1">
      <alignment horizontal="center" vertical="center"/>
    </xf>
    <xf numFmtId="0" fontId="14" fillId="18" borderId="12" xfId="0" applyFont="1" applyFill="1" applyBorder="1" applyAlignment="1">
      <alignment horizontal="centerContinuous" vertical="center"/>
    </xf>
    <xf numFmtId="0" fontId="14" fillId="18" borderId="11" xfId="0" applyFont="1" applyFill="1" applyBorder="1" applyAlignment="1">
      <alignment horizontal="centerContinuous"/>
    </xf>
    <xf numFmtId="0" fontId="14" fillId="18" borderId="10" xfId="0" applyFont="1" applyFill="1" applyBorder="1" applyAlignment="1">
      <alignment horizontal="centerContinuous"/>
    </xf>
    <xf numFmtId="0" fontId="14" fillId="18" borderId="11" xfId="0" applyFont="1" applyFill="1" applyBorder="1" applyAlignment="1">
      <alignment horizontal="centerContinuous" vertical="center"/>
    </xf>
    <xf numFmtId="0" fontId="32" fillId="4" borderId="64" xfId="0" applyFont="1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4" borderId="0" xfId="0" applyFill="1" applyProtection="1"/>
    <xf numFmtId="0" fontId="31" fillId="0" borderId="0" xfId="0" applyFont="1" applyFill="1" applyAlignment="1" applyProtection="1">
      <alignment vertical="center"/>
    </xf>
    <xf numFmtId="0" fontId="0" fillId="0" borderId="0" xfId="0" quotePrefix="1" applyFill="1" applyProtection="1"/>
    <xf numFmtId="0" fontId="31" fillId="0" borderId="62" xfId="0" applyFont="1" applyFill="1" applyBorder="1" applyAlignment="1" applyProtection="1">
      <alignment horizontal="center" vertical="center"/>
    </xf>
    <xf numFmtId="0" fontId="31" fillId="0" borderId="63" xfId="0" applyFont="1" applyFill="1" applyBorder="1" applyAlignment="1" applyProtection="1">
      <alignment horizontal="center" vertical="center"/>
    </xf>
    <xf numFmtId="0" fontId="2" fillId="15" borderId="54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55" xfId="0" applyFont="1" applyFill="1" applyBorder="1" applyAlignment="1">
      <alignment horizontal="center" vertical="center"/>
    </xf>
    <xf numFmtId="0" fontId="2" fillId="15" borderId="23" xfId="0" applyFont="1" applyFill="1" applyBorder="1" applyAlignment="1">
      <alignment horizontal="center" vertical="center"/>
    </xf>
    <xf numFmtId="0" fontId="2" fillId="15" borderId="24" xfId="0" applyFont="1" applyFill="1" applyBorder="1" applyAlignment="1">
      <alignment horizontal="center" vertical="center"/>
    </xf>
    <xf numFmtId="0" fontId="2" fillId="15" borderId="25" xfId="0" applyFont="1" applyFill="1" applyBorder="1" applyAlignment="1">
      <alignment horizontal="center" vertical="center"/>
    </xf>
    <xf numFmtId="0" fontId="10" fillId="4" borderId="14" xfId="1" applyFont="1" applyBorder="1" applyAlignment="1" applyProtection="1">
      <alignment horizontal="center" vertical="center"/>
      <protection locked="0"/>
    </xf>
    <xf numFmtId="0" fontId="10" fillId="4" borderId="15" xfId="1" applyFont="1" applyBorder="1" applyAlignment="1" applyProtection="1">
      <alignment horizontal="center" vertical="center"/>
      <protection locked="0"/>
    </xf>
    <xf numFmtId="0" fontId="10" fillId="4" borderId="16" xfId="1" applyFont="1" applyBorder="1" applyAlignment="1" applyProtection="1">
      <alignment horizontal="center" vertical="center"/>
      <protection locked="0"/>
    </xf>
    <xf numFmtId="0" fontId="24" fillId="14" borderId="17" xfId="0" applyFont="1" applyFill="1" applyBorder="1" applyAlignment="1">
      <alignment horizontal="center" vertical="center"/>
    </xf>
    <xf numFmtId="0" fontId="24" fillId="14" borderId="0" xfId="0" applyFont="1" applyFill="1" applyBorder="1" applyAlignment="1">
      <alignment horizontal="center" vertical="center"/>
    </xf>
    <xf numFmtId="0" fontId="24" fillId="14" borderId="18" xfId="0" applyFont="1" applyFill="1" applyBorder="1" applyAlignment="1">
      <alignment horizontal="center" vertical="center"/>
    </xf>
    <xf numFmtId="0" fontId="11" fillId="14" borderId="20" xfId="0" applyFont="1" applyFill="1" applyBorder="1" applyAlignment="1">
      <alignment horizontal="center" vertical="center"/>
    </xf>
    <xf numFmtId="0" fontId="11" fillId="14" borderId="21" xfId="0" applyFont="1" applyFill="1" applyBorder="1" applyAlignment="1">
      <alignment horizontal="center" vertical="center"/>
    </xf>
    <xf numFmtId="0" fontId="11" fillId="14" borderId="2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/>
    </xf>
    <xf numFmtId="0" fontId="21" fillId="0" borderId="0" xfId="0" applyFont="1" applyFill="1" applyAlignment="1">
      <alignment horizontal="right"/>
    </xf>
    <xf numFmtId="0" fontId="0" fillId="2" borderId="58" xfId="0" applyBorder="1" applyAlignment="1">
      <alignment horizontal="center" vertical="center" wrapText="1"/>
    </xf>
    <xf numFmtId="0" fontId="0" fillId="2" borderId="59" xfId="0" applyBorder="1" applyAlignment="1">
      <alignment horizontal="center" vertical="center" wrapText="1"/>
    </xf>
    <xf numFmtId="0" fontId="0" fillId="2" borderId="60" xfId="0" applyBorder="1" applyAlignment="1">
      <alignment horizontal="center" vertical="center" wrapText="1"/>
    </xf>
    <xf numFmtId="0" fontId="0" fillId="2" borderId="58" xfId="0" applyBorder="1" applyAlignment="1">
      <alignment wrapText="1"/>
    </xf>
    <xf numFmtId="0" fontId="0" fillId="2" borderId="59" xfId="0" applyBorder="1" applyAlignment="1">
      <alignment wrapText="1"/>
    </xf>
    <xf numFmtId="0" fontId="0" fillId="2" borderId="60" xfId="0" applyBorder="1" applyAlignment="1">
      <alignment wrapText="1"/>
    </xf>
  </cellXfs>
  <cellStyles count="2">
    <cellStyle name="Input" xfId="1" builtinId="20" customBuiltin="1"/>
    <cellStyle name="Normal" xfId="0" builtinId="0" customBuiltin="1"/>
  </cellStyles>
  <dxfs count="2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horizontal style="thin">
          <color theme="1"/>
        </horizontal>
      </border>
    </dxf>
  </dxfs>
  <tableStyles count="2" defaultTableStyle="TableStyleMedium2" defaultPivotStyle="PivotStyleLight16">
    <tableStyle name="TableStyleMedium1 2" pivot="0" count="8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size="4" dxfId="19"/>
      <tableStyleElement type="secondRowStripe" size="4"/>
      <tableStyleElement type="firstColumnStripe" dxfId="18"/>
    </tableStyle>
    <tableStyle name="TableStyleQueryResult" pivot="0" count="3">
      <tableStyleElement type="wholeTable" dxfId="17"/>
      <tableStyleElement type="headerRow" dxfId="16"/>
      <tableStyleElement type="firstRowStripe" dxfId="15"/>
    </tableStyle>
  </tableStyles>
  <colors>
    <mruColors>
      <color rgb="FFD02B1A"/>
      <color rgb="FF2F5597"/>
      <color rgb="FF8FAADC"/>
      <color rgb="FF4472C4"/>
      <color rgb="FF434343"/>
      <color rgb="FFE67E22"/>
      <color rgb="FFE74C3C"/>
      <color rgb="FF2ECF71"/>
      <color rgb="FF27AE60"/>
      <color rgb="FFD3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iran.com" TargetMode="External"/><Relationship Id="rId2" Type="http://schemas.openxmlformats.org/officeDocument/2006/relationships/hyperlink" Target="#'Group A'!A1"/><Relationship Id="rId1" Type="http://schemas.openxmlformats.org/officeDocument/2006/relationships/hyperlink" Target="http://www.spreadsheet1.com/index.html" TargetMode="External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5.png"/><Relationship Id="rId2" Type="http://schemas.openxmlformats.org/officeDocument/2006/relationships/hyperlink" Target="#'Group A'!R1C1"/><Relationship Id="rId1" Type="http://schemas.openxmlformats.org/officeDocument/2006/relationships/image" Target="../media/image19.emf"/><Relationship Id="rId4" Type="http://schemas.openxmlformats.org/officeDocument/2006/relationships/image" Target="../media/image13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png"/><Relationship Id="rId18" Type="http://schemas.openxmlformats.org/officeDocument/2006/relationships/image" Target="../media/image154.png"/><Relationship Id="rId26" Type="http://schemas.openxmlformats.org/officeDocument/2006/relationships/image" Target="../media/image162.png"/><Relationship Id="rId3" Type="http://schemas.openxmlformats.org/officeDocument/2006/relationships/image" Target="../media/image139.png"/><Relationship Id="rId21" Type="http://schemas.openxmlformats.org/officeDocument/2006/relationships/image" Target="../media/image157.png"/><Relationship Id="rId7" Type="http://schemas.openxmlformats.org/officeDocument/2006/relationships/image" Target="../media/image143.png"/><Relationship Id="rId12" Type="http://schemas.openxmlformats.org/officeDocument/2006/relationships/image" Target="../media/image148.png"/><Relationship Id="rId17" Type="http://schemas.openxmlformats.org/officeDocument/2006/relationships/image" Target="../media/image153.png"/><Relationship Id="rId25" Type="http://schemas.openxmlformats.org/officeDocument/2006/relationships/image" Target="../media/image161.png"/><Relationship Id="rId2" Type="http://schemas.openxmlformats.org/officeDocument/2006/relationships/image" Target="../media/image138.png"/><Relationship Id="rId16" Type="http://schemas.openxmlformats.org/officeDocument/2006/relationships/image" Target="../media/image152.png"/><Relationship Id="rId20" Type="http://schemas.openxmlformats.org/officeDocument/2006/relationships/image" Target="../media/image156.png"/><Relationship Id="rId29" Type="http://schemas.openxmlformats.org/officeDocument/2006/relationships/image" Target="../media/image165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24" Type="http://schemas.openxmlformats.org/officeDocument/2006/relationships/image" Target="../media/image160.png"/><Relationship Id="rId32" Type="http://schemas.openxmlformats.org/officeDocument/2006/relationships/image" Target="../media/image168.png"/><Relationship Id="rId5" Type="http://schemas.openxmlformats.org/officeDocument/2006/relationships/image" Target="../media/image141.png"/><Relationship Id="rId15" Type="http://schemas.openxmlformats.org/officeDocument/2006/relationships/image" Target="../media/image151.png"/><Relationship Id="rId23" Type="http://schemas.openxmlformats.org/officeDocument/2006/relationships/image" Target="../media/image159.png"/><Relationship Id="rId28" Type="http://schemas.openxmlformats.org/officeDocument/2006/relationships/image" Target="../media/image164.png"/><Relationship Id="rId10" Type="http://schemas.openxmlformats.org/officeDocument/2006/relationships/image" Target="../media/image146.png"/><Relationship Id="rId19" Type="http://schemas.openxmlformats.org/officeDocument/2006/relationships/image" Target="../media/image155.png"/><Relationship Id="rId31" Type="http://schemas.openxmlformats.org/officeDocument/2006/relationships/image" Target="../media/image167.png"/><Relationship Id="rId4" Type="http://schemas.openxmlformats.org/officeDocument/2006/relationships/image" Target="../media/image140.png"/><Relationship Id="rId9" Type="http://schemas.openxmlformats.org/officeDocument/2006/relationships/image" Target="../media/image145.png"/><Relationship Id="rId14" Type="http://schemas.openxmlformats.org/officeDocument/2006/relationships/image" Target="../media/image150.png"/><Relationship Id="rId22" Type="http://schemas.openxmlformats.org/officeDocument/2006/relationships/image" Target="../media/image158.png"/><Relationship Id="rId27" Type="http://schemas.openxmlformats.org/officeDocument/2006/relationships/image" Target="../media/image163.png"/><Relationship Id="rId30" Type="http://schemas.openxmlformats.org/officeDocument/2006/relationships/image" Target="../media/image16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13" Type="http://schemas.openxmlformats.org/officeDocument/2006/relationships/image" Target="../media/image16.emf"/><Relationship Id="rId18" Type="http://schemas.openxmlformats.org/officeDocument/2006/relationships/hyperlink" Target="#'Group C'!A1"/><Relationship Id="rId3" Type="http://schemas.openxmlformats.org/officeDocument/2006/relationships/image" Target="../media/image6.emf"/><Relationship Id="rId21" Type="http://schemas.openxmlformats.org/officeDocument/2006/relationships/hyperlink" Target="#'Group F'!A1"/><Relationship Id="rId7" Type="http://schemas.openxmlformats.org/officeDocument/2006/relationships/image" Target="../media/image10.emf"/><Relationship Id="rId12" Type="http://schemas.openxmlformats.org/officeDocument/2006/relationships/image" Target="../media/image15.emf"/><Relationship Id="rId17" Type="http://schemas.openxmlformats.org/officeDocument/2006/relationships/hyperlink" Target="#'Group B'!A1"/><Relationship Id="rId25" Type="http://schemas.openxmlformats.org/officeDocument/2006/relationships/hyperlink" Target="#language.name"/><Relationship Id="rId2" Type="http://schemas.openxmlformats.org/officeDocument/2006/relationships/image" Target="../media/image5.emf"/><Relationship Id="rId16" Type="http://schemas.openxmlformats.org/officeDocument/2006/relationships/image" Target="../media/image19.emf"/><Relationship Id="rId20" Type="http://schemas.openxmlformats.org/officeDocument/2006/relationships/hyperlink" Target="#'Group E'!A1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11" Type="http://schemas.openxmlformats.org/officeDocument/2006/relationships/image" Target="../media/image14.emf"/><Relationship Id="rId24" Type="http://schemas.openxmlformats.org/officeDocument/2006/relationships/hyperlink" Target="#'Knock-Out'!A1"/><Relationship Id="rId5" Type="http://schemas.openxmlformats.org/officeDocument/2006/relationships/image" Target="../media/image8.emf"/><Relationship Id="rId15" Type="http://schemas.openxmlformats.org/officeDocument/2006/relationships/image" Target="../media/image18.emf"/><Relationship Id="rId23" Type="http://schemas.openxmlformats.org/officeDocument/2006/relationships/hyperlink" Target="#'Group H'!A1"/><Relationship Id="rId10" Type="http://schemas.openxmlformats.org/officeDocument/2006/relationships/image" Target="../media/image13.emf"/><Relationship Id="rId19" Type="http://schemas.openxmlformats.org/officeDocument/2006/relationships/hyperlink" Target="#'Group D'!A1"/><Relationship Id="rId4" Type="http://schemas.openxmlformats.org/officeDocument/2006/relationships/image" Target="../media/image7.emf"/><Relationship Id="rId9" Type="http://schemas.openxmlformats.org/officeDocument/2006/relationships/image" Target="../media/image12.emf"/><Relationship Id="rId14" Type="http://schemas.openxmlformats.org/officeDocument/2006/relationships/image" Target="../media/image17.emf"/><Relationship Id="rId22" Type="http://schemas.openxmlformats.org/officeDocument/2006/relationships/hyperlink" Target="#'Group G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emf"/><Relationship Id="rId13" Type="http://schemas.openxmlformats.org/officeDocument/2006/relationships/image" Target="../media/image37.emf"/><Relationship Id="rId18" Type="http://schemas.openxmlformats.org/officeDocument/2006/relationships/hyperlink" Target="#'Group A'!A1"/><Relationship Id="rId3" Type="http://schemas.openxmlformats.org/officeDocument/2006/relationships/image" Target="../media/image27.emf"/><Relationship Id="rId21" Type="http://schemas.openxmlformats.org/officeDocument/2006/relationships/hyperlink" Target="#'Group E'!A1"/><Relationship Id="rId7" Type="http://schemas.openxmlformats.org/officeDocument/2006/relationships/image" Target="../media/image31.emf"/><Relationship Id="rId12" Type="http://schemas.openxmlformats.org/officeDocument/2006/relationships/image" Target="../media/image36.emf"/><Relationship Id="rId17" Type="http://schemas.openxmlformats.org/officeDocument/2006/relationships/image" Target="../media/image19.emf"/><Relationship Id="rId25" Type="http://schemas.openxmlformats.org/officeDocument/2006/relationships/hyperlink" Target="#'Knock-Out'!A1"/><Relationship Id="rId2" Type="http://schemas.openxmlformats.org/officeDocument/2006/relationships/image" Target="../media/image26.emf"/><Relationship Id="rId16" Type="http://schemas.openxmlformats.org/officeDocument/2006/relationships/image" Target="../media/image40.emf"/><Relationship Id="rId20" Type="http://schemas.openxmlformats.org/officeDocument/2006/relationships/hyperlink" Target="#'Group D'!A1"/><Relationship Id="rId1" Type="http://schemas.openxmlformats.org/officeDocument/2006/relationships/image" Target="../media/image25.emf"/><Relationship Id="rId6" Type="http://schemas.openxmlformats.org/officeDocument/2006/relationships/image" Target="../media/image30.emf"/><Relationship Id="rId11" Type="http://schemas.openxmlformats.org/officeDocument/2006/relationships/image" Target="../media/image35.emf"/><Relationship Id="rId24" Type="http://schemas.openxmlformats.org/officeDocument/2006/relationships/hyperlink" Target="#'Group H'!A1"/><Relationship Id="rId5" Type="http://schemas.openxmlformats.org/officeDocument/2006/relationships/image" Target="../media/image29.emf"/><Relationship Id="rId15" Type="http://schemas.openxmlformats.org/officeDocument/2006/relationships/image" Target="../media/image39.emf"/><Relationship Id="rId23" Type="http://schemas.openxmlformats.org/officeDocument/2006/relationships/hyperlink" Target="#'Group G'!A1"/><Relationship Id="rId10" Type="http://schemas.openxmlformats.org/officeDocument/2006/relationships/image" Target="../media/image34.emf"/><Relationship Id="rId19" Type="http://schemas.openxmlformats.org/officeDocument/2006/relationships/hyperlink" Target="#'Group C'!A1"/><Relationship Id="rId4" Type="http://schemas.openxmlformats.org/officeDocument/2006/relationships/image" Target="../media/image28.emf"/><Relationship Id="rId9" Type="http://schemas.openxmlformats.org/officeDocument/2006/relationships/image" Target="../media/image33.emf"/><Relationship Id="rId14" Type="http://schemas.openxmlformats.org/officeDocument/2006/relationships/image" Target="../media/image38.emf"/><Relationship Id="rId22" Type="http://schemas.openxmlformats.org/officeDocument/2006/relationships/hyperlink" Target="#'Group F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.emf"/><Relationship Id="rId13" Type="http://schemas.openxmlformats.org/officeDocument/2006/relationships/hyperlink" Target="#'Group B'!A1"/><Relationship Id="rId18" Type="http://schemas.openxmlformats.org/officeDocument/2006/relationships/hyperlink" Target="#'Group H'!A1"/><Relationship Id="rId3" Type="http://schemas.openxmlformats.org/officeDocument/2006/relationships/image" Target="../media/image47.emf"/><Relationship Id="rId7" Type="http://schemas.openxmlformats.org/officeDocument/2006/relationships/image" Target="../media/image51.emf"/><Relationship Id="rId12" Type="http://schemas.openxmlformats.org/officeDocument/2006/relationships/hyperlink" Target="#'Group A'!B1"/><Relationship Id="rId17" Type="http://schemas.openxmlformats.org/officeDocument/2006/relationships/hyperlink" Target="#'Group G'!A1"/><Relationship Id="rId2" Type="http://schemas.openxmlformats.org/officeDocument/2006/relationships/image" Target="../media/image46.emf"/><Relationship Id="rId16" Type="http://schemas.openxmlformats.org/officeDocument/2006/relationships/hyperlink" Target="#'Group F'!A1"/><Relationship Id="rId1" Type="http://schemas.openxmlformats.org/officeDocument/2006/relationships/image" Target="../media/image45.emf"/><Relationship Id="rId6" Type="http://schemas.openxmlformats.org/officeDocument/2006/relationships/image" Target="../media/image50.emf"/><Relationship Id="rId11" Type="http://schemas.openxmlformats.org/officeDocument/2006/relationships/image" Target="../media/image19.emf"/><Relationship Id="rId5" Type="http://schemas.openxmlformats.org/officeDocument/2006/relationships/image" Target="../media/image49.emf"/><Relationship Id="rId15" Type="http://schemas.openxmlformats.org/officeDocument/2006/relationships/hyperlink" Target="#'Group E'!A1"/><Relationship Id="rId10" Type="http://schemas.openxmlformats.org/officeDocument/2006/relationships/image" Target="../media/image54.emf"/><Relationship Id="rId19" Type="http://schemas.openxmlformats.org/officeDocument/2006/relationships/hyperlink" Target="#'Knock-Out'!A1"/><Relationship Id="rId4" Type="http://schemas.openxmlformats.org/officeDocument/2006/relationships/image" Target="../media/image48.emf"/><Relationship Id="rId9" Type="http://schemas.openxmlformats.org/officeDocument/2006/relationships/image" Target="../media/image53.emf"/><Relationship Id="rId14" Type="http://schemas.openxmlformats.org/officeDocument/2006/relationships/hyperlink" Target="#'Group D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emf"/><Relationship Id="rId13" Type="http://schemas.openxmlformats.org/officeDocument/2006/relationships/hyperlink" Target="#'Group A'!B1"/><Relationship Id="rId18" Type="http://schemas.openxmlformats.org/officeDocument/2006/relationships/hyperlink" Target="#'Group G'!A1"/><Relationship Id="rId3" Type="http://schemas.openxmlformats.org/officeDocument/2006/relationships/image" Target="../media/image61.emf"/><Relationship Id="rId7" Type="http://schemas.openxmlformats.org/officeDocument/2006/relationships/image" Target="../media/image65.emf"/><Relationship Id="rId12" Type="http://schemas.openxmlformats.org/officeDocument/2006/relationships/image" Target="../media/image19.emf"/><Relationship Id="rId17" Type="http://schemas.openxmlformats.org/officeDocument/2006/relationships/hyperlink" Target="#'Group F'!A1"/><Relationship Id="rId2" Type="http://schemas.openxmlformats.org/officeDocument/2006/relationships/image" Target="../media/image60.emf"/><Relationship Id="rId16" Type="http://schemas.openxmlformats.org/officeDocument/2006/relationships/hyperlink" Target="#'Group E'!A1"/><Relationship Id="rId20" Type="http://schemas.openxmlformats.org/officeDocument/2006/relationships/hyperlink" Target="#'Knock-Out'!A1"/><Relationship Id="rId1" Type="http://schemas.openxmlformats.org/officeDocument/2006/relationships/image" Target="../media/image59.emf"/><Relationship Id="rId6" Type="http://schemas.openxmlformats.org/officeDocument/2006/relationships/image" Target="../media/image64.emf"/><Relationship Id="rId11" Type="http://schemas.openxmlformats.org/officeDocument/2006/relationships/image" Target="../media/image69.emf"/><Relationship Id="rId5" Type="http://schemas.openxmlformats.org/officeDocument/2006/relationships/image" Target="../media/image63.emf"/><Relationship Id="rId15" Type="http://schemas.openxmlformats.org/officeDocument/2006/relationships/hyperlink" Target="#'Group C'!A1"/><Relationship Id="rId10" Type="http://schemas.openxmlformats.org/officeDocument/2006/relationships/image" Target="../media/image68.emf"/><Relationship Id="rId19" Type="http://schemas.openxmlformats.org/officeDocument/2006/relationships/hyperlink" Target="#'Group H'!A1"/><Relationship Id="rId4" Type="http://schemas.openxmlformats.org/officeDocument/2006/relationships/image" Target="../media/image62.emf"/><Relationship Id="rId9" Type="http://schemas.openxmlformats.org/officeDocument/2006/relationships/image" Target="../media/image67.emf"/><Relationship Id="rId14" Type="http://schemas.openxmlformats.org/officeDocument/2006/relationships/hyperlink" Target="#'Group B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1.emf"/><Relationship Id="rId13" Type="http://schemas.openxmlformats.org/officeDocument/2006/relationships/hyperlink" Target="#'Group A'!B1"/><Relationship Id="rId18" Type="http://schemas.openxmlformats.org/officeDocument/2006/relationships/hyperlink" Target="#'Group G'!A1"/><Relationship Id="rId3" Type="http://schemas.openxmlformats.org/officeDocument/2006/relationships/image" Target="../media/image76.emf"/><Relationship Id="rId7" Type="http://schemas.openxmlformats.org/officeDocument/2006/relationships/image" Target="../media/image80.emf"/><Relationship Id="rId12" Type="http://schemas.openxmlformats.org/officeDocument/2006/relationships/image" Target="../media/image19.emf"/><Relationship Id="rId17" Type="http://schemas.openxmlformats.org/officeDocument/2006/relationships/hyperlink" Target="#'Group F'!A1"/><Relationship Id="rId2" Type="http://schemas.openxmlformats.org/officeDocument/2006/relationships/image" Target="../media/image75.emf"/><Relationship Id="rId16" Type="http://schemas.openxmlformats.org/officeDocument/2006/relationships/hyperlink" Target="#'Group D'!A1"/><Relationship Id="rId20" Type="http://schemas.openxmlformats.org/officeDocument/2006/relationships/hyperlink" Target="#'Knock-Out'!A1"/><Relationship Id="rId1" Type="http://schemas.openxmlformats.org/officeDocument/2006/relationships/image" Target="../media/image74.emf"/><Relationship Id="rId6" Type="http://schemas.openxmlformats.org/officeDocument/2006/relationships/image" Target="../media/image79.emf"/><Relationship Id="rId11" Type="http://schemas.openxmlformats.org/officeDocument/2006/relationships/image" Target="../media/image84.emf"/><Relationship Id="rId5" Type="http://schemas.openxmlformats.org/officeDocument/2006/relationships/image" Target="../media/image78.emf"/><Relationship Id="rId15" Type="http://schemas.openxmlformats.org/officeDocument/2006/relationships/hyperlink" Target="#'Group C'!A1"/><Relationship Id="rId10" Type="http://schemas.openxmlformats.org/officeDocument/2006/relationships/image" Target="../media/image83.emf"/><Relationship Id="rId19" Type="http://schemas.openxmlformats.org/officeDocument/2006/relationships/hyperlink" Target="#'Group H'!A1"/><Relationship Id="rId4" Type="http://schemas.openxmlformats.org/officeDocument/2006/relationships/image" Target="../media/image77.emf"/><Relationship Id="rId9" Type="http://schemas.openxmlformats.org/officeDocument/2006/relationships/image" Target="../media/image82.emf"/><Relationship Id="rId14" Type="http://schemas.openxmlformats.org/officeDocument/2006/relationships/hyperlink" Target="#'Group B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6.emf"/><Relationship Id="rId13" Type="http://schemas.openxmlformats.org/officeDocument/2006/relationships/image" Target="../media/image19.emf"/><Relationship Id="rId18" Type="http://schemas.openxmlformats.org/officeDocument/2006/relationships/hyperlink" Target="#'Group E'!A1"/><Relationship Id="rId3" Type="http://schemas.openxmlformats.org/officeDocument/2006/relationships/image" Target="../media/image91.emf"/><Relationship Id="rId21" Type="http://schemas.openxmlformats.org/officeDocument/2006/relationships/hyperlink" Target="#'Knock-Out'!A1"/><Relationship Id="rId7" Type="http://schemas.openxmlformats.org/officeDocument/2006/relationships/image" Target="../media/image95.emf"/><Relationship Id="rId12" Type="http://schemas.openxmlformats.org/officeDocument/2006/relationships/image" Target="../media/image100.emf"/><Relationship Id="rId17" Type="http://schemas.openxmlformats.org/officeDocument/2006/relationships/hyperlink" Target="#'Group D'!A1"/><Relationship Id="rId2" Type="http://schemas.openxmlformats.org/officeDocument/2006/relationships/image" Target="../media/image90.emf"/><Relationship Id="rId16" Type="http://schemas.openxmlformats.org/officeDocument/2006/relationships/hyperlink" Target="#'Group C'!A1"/><Relationship Id="rId20" Type="http://schemas.openxmlformats.org/officeDocument/2006/relationships/hyperlink" Target="#'Group H'!A1"/><Relationship Id="rId1" Type="http://schemas.openxmlformats.org/officeDocument/2006/relationships/image" Target="../media/image89.emf"/><Relationship Id="rId6" Type="http://schemas.openxmlformats.org/officeDocument/2006/relationships/image" Target="../media/image94.emf"/><Relationship Id="rId11" Type="http://schemas.openxmlformats.org/officeDocument/2006/relationships/image" Target="../media/image99.emf"/><Relationship Id="rId5" Type="http://schemas.openxmlformats.org/officeDocument/2006/relationships/image" Target="../media/image93.emf"/><Relationship Id="rId15" Type="http://schemas.openxmlformats.org/officeDocument/2006/relationships/hyperlink" Target="#'Group B'!A1"/><Relationship Id="rId10" Type="http://schemas.openxmlformats.org/officeDocument/2006/relationships/image" Target="../media/image98.emf"/><Relationship Id="rId19" Type="http://schemas.openxmlformats.org/officeDocument/2006/relationships/hyperlink" Target="#'Group G'!A1"/><Relationship Id="rId4" Type="http://schemas.openxmlformats.org/officeDocument/2006/relationships/image" Target="../media/image92.emf"/><Relationship Id="rId9" Type="http://schemas.openxmlformats.org/officeDocument/2006/relationships/image" Target="../media/image97.emf"/><Relationship Id="rId14" Type="http://schemas.openxmlformats.org/officeDocument/2006/relationships/hyperlink" Target="#'Group A'!B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emf"/><Relationship Id="rId13" Type="http://schemas.openxmlformats.org/officeDocument/2006/relationships/image" Target="../media/image19.emf"/><Relationship Id="rId18" Type="http://schemas.openxmlformats.org/officeDocument/2006/relationships/hyperlink" Target="#'Group E'!A1"/><Relationship Id="rId3" Type="http://schemas.openxmlformats.org/officeDocument/2006/relationships/image" Target="../media/image107.emf"/><Relationship Id="rId21" Type="http://schemas.openxmlformats.org/officeDocument/2006/relationships/hyperlink" Target="#'Knock-Out'!A1"/><Relationship Id="rId7" Type="http://schemas.openxmlformats.org/officeDocument/2006/relationships/image" Target="../media/image111.emf"/><Relationship Id="rId12" Type="http://schemas.openxmlformats.org/officeDocument/2006/relationships/image" Target="../media/image116.emf"/><Relationship Id="rId17" Type="http://schemas.openxmlformats.org/officeDocument/2006/relationships/hyperlink" Target="#'Group D'!A1"/><Relationship Id="rId2" Type="http://schemas.openxmlformats.org/officeDocument/2006/relationships/image" Target="../media/image106.emf"/><Relationship Id="rId16" Type="http://schemas.openxmlformats.org/officeDocument/2006/relationships/hyperlink" Target="#'Group C'!A1"/><Relationship Id="rId20" Type="http://schemas.openxmlformats.org/officeDocument/2006/relationships/hyperlink" Target="#'Group H'!A1"/><Relationship Id="rId1" Type="http://schemas.openxmlformats.org/officeDocument/2006/relationships/image" Target="../media/image105.emf"/><Relationship Id="rId6" Type="http://schemas.openxmlformats.org/officeDocument/2006/relationships/image" Target="../media/image110.emf"/><Relationship Id="rId11" Type="http://schemas.openxmlformats.org/officeDocument/2006/relationships/image" Target="../media/image115.emf"/><Relationship Id="rId5" Type="http://schemas.openxmlformats.org/officeDocument/2006/relationships/image" Target="../media/image109.emf"/><Relationship Id="rId15" Type="http://schemas.openxmlformats.org/officeDocument/2006/relationships/hyperlink" Target="#'Group B'!A1"/><Relationship Id="rId10" Type="http://schemas.openxmlformats.org/officeDocument/2006/relationships/image" Target="../media/image114.emf"/><Relationship Id="rId19" Type="http://schemas.openxmlformats.org/officeDocument/2006/relationships/hyperlink" Target="#'Group F'!A1"/><Relationship Id="rId4" Type="http://schemas.openxmlformats.org/officeDocument/2006/relationships/image" Target="../media/image108.emf"/><Relationship Id="rId9" Type="http://schemas.openxmlformats.org/officeDocument/2006/relationships/image" Target="../media/image113.emf"/><Relationship Id="rId14" Type="http://schemas.openxmlformats.org/officeDocument/2006/relationships/hyperlink" Target="#'Group A'!B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emf"/><Relationship Id="rId13" Type="http://schemas.openxmlformats.org/officeDocument/2006/relationships/hyperlink" Target="#'Group B'!A1"/><Relationship Id="rId18" Type="http://schemas.openxmlformats.org/officeDocument/2006/relationships/hyperlink" Target="#'Group G'!A1"/><Relationship Id="rId3" Type="http://schemas.openxmlformats.org/officeDocument/2006/relationships/image" Target="../media/image123.emf"/><Relationship Id="rId7" Type="http://schemas.openxmlformats.org/officeDocument/2006/relationships/image" Target="../media/image127.emf"/><Relationship Id="rId12" Type="http://schemas.openxmlformats.org/officeDocument/2006/relationships/hyperlink" Target="#'Group A'!B1"/><Relationship Id="rId17" Type="http://schemas.openxmlformats.org/officeDocument/2006/relationships/hyperlink" Target="#'Group F'!A1"/><Relationship Id="rId2" Type="http://schemas.openxmlformats.org/officeDocument/2006/relationships/image" Target="../media/image122.emf"/><Relationship Id="rId16" Type="http://schemas.openxmlformats.org/officeDocument/2006/relationships/hyperlink" Target="#'Group E'!A1"/><Relationship Id="rId1" Type="http://schemas.openxmlformats.org/officeDocument/2006/relationships/image" Target="../media/image121.emf"/><Relationship Id="rId6" Type="http://schemas.openxmlformats.org/officeDocument/2006/relationships/image" Target="../media/image126.emf"/><Relationship Id="rId11" Type="http://schemas.openxmlformats.org/officeDocument/2006/relationships/image" Target="../media/image19.emf"/><Relationship Id="rId5" Type="http://schemas.openxmlformats.org/officeDocument/2006/relationships/image" Target="../media/image125.emf"/><Relationship Id="rId15" Type="http://schemas.openxmlformats.org/officeDocument/2006/relationships/hyperlink" Target="#'Group D'!A1"/><Relationship Id="rId10" Type="http://schemas.openxmlformats.org/officeDocument/2006/relationships/image" Target="../media/image130.emf"/><Relationship Id="rId19" Type="http://schemas.openxmlformats.org/officeDocument/2006/relationships/hyperlink" Target="#'Knock-Out'!A1"/><Relationship Id="rId4" Type="http://schemas.openxmlformats.org/officeDocument/2006/relationships/image" Target="../media/image124.emf"/><Relationship Id="rId9" Type="http://schemas.openxmlformats.org/officeDocument/2006/relationships/image" Target="../media/image129.emf"/><Relationship Id="rId14" Type="http://schemas.openxmlformats.org/officeDocument/2006/relationships/hyperlink" Target="#'Group C'!A1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2.emf"/><Relationship Id="rId2" Type="http://schemas.openxmlformats.org/officeDocument/2006/relationships/image" Target="../media/image21.emf"/><Relationship Id="rId1" Type="http://schemas.openxmlformats.org/officeDocument/2006/relationships/image" Target="../media/image20.emf"/><Relationship Id="rId5" Type="http://schemas.openxmlformats.org/officeDocument/2006/relationships/image" Target="../media/image24.emf"/><Relationship Id="rId4" Type="http://schemas.openxmlformats.org/officeDocument/2006/relationships/image" Target="../media/image2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3.emf"/><Relationship Id="rId2" Type="http://schemas.openxmlformats.org/officeDocument/2006/relationships/image" Target="../media/image42.emf"/><Relationship Id="rId1" Type="http://schemas.openxmlformats.org/officeDocument/2006/relationships/image" Target="../media/image41.emf"/><Relationship Id="rId5" Type="http://schemas.openxmlformats.org/officeDocument/2006/relationships/image" Target="../media/image24.emf"/><Relationship Id="rId4" Type="http://schemas.openxmlformats.org/officeDocument/2006/relationships/image" Target="../media/image4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7.emf"/><Relationship Id="rId2" Type="http://schemas.openxmlformats.org/officeDocument/2006/relationships/image" Target="../media/image56.emf"/><Relationship Id="rId1" Type="http://schemas.openxmlformats.org/officeDocument/2006/relationships/image" Target="../media/image55.emf"/><Relationship Id="rId5" Type="http://schemas.openxmlformats.org/officeDocument/2006/relationships/image" Target="../media/image24.emf"/><Relationship Id="rId4" Type="http://schemas.openxmlformats.org/officeDocument/2006/relationships/image" Target="../media/image58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2.emf"/><Relationship Id="rId2" Type="http://schemas.openxmlformats.org/officeDocument/2006/relationships/image" Target="../media/image71.emf"/><Relationship Id="rId1" Type="http://schemas.openxmlformats.org/officeDocument/2006/relationships/image" Target="../media/image70.emf"/><Relationship Id="rId5" Type="http://schemas.openxmlformats.org/officeDocument/2006/relationships/image" Target="../media/image24.emf"/><Relationship Id="rId4" Type="http://schemas.openxmlformats.org/officeDocument/2006/relationships/image" Target="../media/image73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7.emf"/><Relationship Id="rId2" Type="http://schemas.openxmlformats.org/officeDocument/2006/relationships/image" Target="../media/image86.emf"/><Relationship Id="rId1" Type="http://schemas.openxmlformats.org/officeDocument/2006/relationships/image" Target="../media/image85.emf"/><Relationship Id="rId5" Type="http://schemas.openxmlformats.org/officeDocument/2006/relationships/image" Target="../media/image24.emf"/><Relationship Id="rId4" Type="http://schemas.openxmlformats.org/officeDocument/2006/relationships/image" Target="../media/image88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emf"/><Relationship Id="rId2" Type="http://schemas.openxmlformats.org/officeDocument/2006/relationships/image" Target="../media/image102.emf"/><Relationship Id="rId1" Type="http://schemas.openxmlformats.org/officeDocument/2006/relationships/image" Target="../media/image101.emf"/><Relationship Id="rId5" Type="http://schemas.openxmlformats.org/officeDocument/2006/relationships/image" Target="../media/image24.emf"/><Relationship Id="rId4" Type="http://schemas.openxmlformats.org/officeDocument/2006/relationships/image" Target="../media/image104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9.emf"/><Relationship Id="rId2" Type="http://schemas.openxmlformats.org/officeDocument/2006/relationships/image" Target="../media/image118.emf"/><Relationship Id="rId1" Type="http://schemas.openxmlformats.org/officeDocument/2006/relationships/image" Target="../media/image117.emf"/><Relationship Id="rId5" Type="http://schemas.openxmlformats.org/officeDocument/2006/relationships/image" Target="../media/image24.emf"/><Relationship Id="rId4" Type="http://schemas.openxmlformats.org/officeDocument/2006/relationships/image" Target="../media/image120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emf"/><Relationship Id="rId2" Type="http://schemas.openxmlformats.org/officeDocument/2006/relationships/image" Target="../media/image132.emf"/><Relationship Id="rId1" Type="http://schemas.openxmlformats.org/officeDocument/2006/relationships/image" Target="../media/image131.emf"/><Relationship Id="rId5" Type="http://schemas.openxmlformats.org/officeDocument/2006/relationships/image" Target="../media/image24.emf"/><Relationship Id="rId4" Type="http://schemas.openxmlformats.org/officeDocument/2006/relationships/image" Target="../media/image134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102577</xdr:rowOff>
    </xdr:from>
    <xdr:to>
      <xdr:col>13</xdr:col>
      <xdr:colOff>0</xdr:colOff>
      <xdr:row>37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8135" y="6389077"/>
          <a:ext cx="7297615" cy="659423"/>
        </a:xfrm>
        <a:prstGeom prst="rect">
          <a:avLst/>
        </a:prstGeom>
        <a:solidFill>
          <a:srgbClr val="C00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57150</xdr:colOff>
      <xdr:row>2</xdr:row>
      <xdr:rowOff>69850</xdr:rowOff>
    </xdr:from>
    <xdr:to>
      <xdr:col>10</xdr:col>
      <xdr:colOff>641350</xdr:colOff>
      <xdr:row>20</xdr:row>
      <xdr:rowOff>133350</xdr:rowOff>
    </xdr:to>
    <xdr:sp macro="" textlink="">
      <xdr:nvSpPr>
        <xdr:cNvPr id="9" name="Rectangle 8">
          <a:hlinkClick xmlns:r="http://schemas.openxmlformats.org/officeDocument/2006/relationships" r:id="rId2"/>
        </xdr:cNvPr>
        <xdr:cNvSpPr/>
      </xdr:nvSpPr>
      <xdr:spPr>
        <a:xfrm>
          <a:off x="57150" y="438150"/>
          <a:ext cx="7505700" cy="3263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0</xdr:col>
      <xdr:colOff>114301</xdr:colOff>
      <xdr:row>0</xdr:row>
      <xdr:rowOff>88900</xdr:rowOff>
    </xdr:from>
    <xdr:to>
      <xdr:col>1</xdr:col>
      <xdr:colOff>127001</xdr:colOff>
      <xdr:row>3</xdr:row>
      <xdr:rowOff>139700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88900"/>
          <a:ext cx="704850" cy="596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1</xdr:row>
          <xdr:rowOff>86590</xdr:rowOff>
        </xdr:from>
        <xdr:ext cx="402336" cy="309488"/>
        <xdr:pic>
          <xdr:nvPicPr>
            <xdr:cNvPr id="3" name="Picture 2" descr="'Group A'!FlagSelect.Win 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Win" spid="_x0000_s1096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432954"/>
              <a:ext cx="402336" cy="309488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4</xdr:row>
          <xdr:rowOff>2</xdr:rowOff>
        </xdr:from>
        <xdr:ext cx="402336" cy="309489"/>
        <xdr:pic>
          <xdr:nvPicPr>
            <xdr:cNvPr id="4" name="Picture 3" descr="FlagSelect.QF1 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1" spid="_x0000_s1096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632116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32202</xdr:colOff>
          <xdr:row>8</xdr:row>
          <xdr:rowOff>0</xdr:rowOff>
        </xdr:from>
        <xdr:ext cx="402336" cy="309489"/>
        <xdr:pic>
          <xdr:nvPicPr>
            <xdr:cNvPr id="5" name="Picture 4" descr="FlagSelect.SF1 ">
              <a:extLst>
                <a:ext uri="{FF2B5EF4-FFF2-40B4-BE49-F238E27FC236}">
                  <a16:creationId xmlns:a16="http://schemas.microsoft.com/office/drawing/2014/main" id="{00000000-0008-0000-0900-000005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SF1" spid="_x0000_s1096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383520" y="1013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32203</xdr:colOff>
          <xdr:row>20</xdr:row>
          <xdr:rowOff>0</xdr:rowOff>
        </xdr:from>
        <xdr:ext cx="402336" cy="309489"/>
        <xdr:pic>
          <xdr:nvPicPr>
            <xdr:cNvPr id="6" name="Picture 5" descr="FlagSelect.F2 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F2" spid="_x0000_s1096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487680" y="2156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39664</xdr:colOff>
          <xdr:row>5</xdr:row>
          <xdr:rowOff>95034</xdr:rowOff>
        </xdr:from>
        <xdr:ext cx="392278" cy="301752"/>
        <xdr:pic>
          <xdr:nvPicPr>
            <xdr:cNvPr id="22" name="Picture 21" descr="'Group B'!FlagSelect.RU ">
              <a:extLst>
                <a:ext uri="{FF2B5EF4-FFF2-40B4-BE49-F238E27FC236}">
                  <a16:creationId xmlns:a16="http://schemas.microsoft.com/office/drawing/2014/main" id="{00000000-0008-0000-0900-00001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RU" spid="_x0000_s1096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3664" y="822398"/>
              <a:ext cx="392278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39664</xdr:colOff>
          <xdr:row>14</xdr:row>
          <xdr:rowOff>2031</xdr:rowOff>
        </xdr:from>
        <xdr:ext cx="392278" cy="301752"/>
        <xdr:pic>
          <xdr:nvPicPr>
            <xdr:cNvPr id="24" name="Picture 23" descr="'Group D'!FlagSelect.RU ">
              <a:extLst>
                <a:ext uri="{FF2B5EF4-FFF2-40B4-BE49-F238E27FC236}">
                  <a16:creationId xmlns:a16="http://schemas.microsoft.com/office/drawing/2014/main" id="{00000000-0008-0000-0900-00001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RU" spid="_x0000_s10966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3664" y="1586645"/>
              <a:ext cx="392278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39664</xdr:colOff>
          <xdr:row>22</xdr:row>
          <xdr:rowOff>12106</xdr:rowOff>
        </xdr:from>
        <xdr:ext cx="392278" cy="301752"/>
        <xdr:pic>
          <xdr:nvPicPr>
            <xdr:cNvPr id="26" name="Picture 25" descr="'Group F'!FlagSelect.RU ">
              <a:extLst>
                <a:ext uri="{FF2B5EF4-FFF2-40B4-BE49-F238E27FC236}">
                  <a16:creationId xmlns:a16="http://schemas.microsoft.com/office/drawing/2014/main" id="{00000000-0008-0000-0900-00001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RU" spid="_x0000_s10967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3664" y="2358720"/>
              <a:ext cx="392278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39664</xdr:colOff>
          <xdr:row>30</xdr:row>
          <xdr:rowOff>14353</xdr:rowOff>
        </xdr:from>
        <xdr:ext cx="392278" cy="301752"/>
        <xdr:pic>
          <xdr:nvPicPr>
            <xdr:cNvPr id="28" name="Picture 27" descr="'Group H'!FlagSelect.RU ">
              <a:extLst>
                <a:ext uri="{FF2B5EF4-FFF2-40B4-BE49-F238E27FC236}">
                  <a16:creationId xmlns:a16="http://schemas.microsoft.com/office/drawing/2014/main" id="{00000000-0008-0000-0900-00001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RU" spid="_x0000_s10968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3664" y="3122967"/>
              <a:ext cx="392278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12</xdr:row>
          <xdr:rowOff>2</xdr:rowOff>
        </xdr:from>
        <xdr:ext cx="402336" cy="309489"/>
        <xdr:pic>
          <xdr:nvPicPr>
            <xdr:cNvPr id="29" name="Picture 28" descr="Flagselect.QF2 ">
              <a:extLst>
                <a:ext uri="{FF2B5EF4-FFF2-40B4-BE49-F238E27FC236}">
                  <a16:creationId xmlns:a16="http://schemas.microsoft.com/office/drawing/2014/main" id="{00000000-0008-0000-0900-00001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2" spid="_x0000_s10969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1394116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20</xdr:row>
          <xdr:rowOff>1</xdr:rowOff>
        </xdr:from>
        <xdr:ext cx="402336" cy="309489"/>
        <xdr:pic>
          <xdr:nvPicPr>
            <xdr:cNvPr id="30" name="Picture 29" descr="FlagSelect.QF3 ">
              <a:extLst>
                <a:ext uri="{FF2B5EF4-FFF2-40B4-BE49-F238E27FC236}">
                  <a16:creationId xmlns:a16="http://schemas.microsoft.com/office/drawing/2014/main" id="{00000000-0008-0000-0900-00001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3" spid="_x0000_s1097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2156115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28</xdr:row>
          <xdr:rowOff>1</xdr:rowOff>
        </xdr:from>
        <xdr:ext cx="402336" cy="309489"/>
        <xdr:pic>
          <xdr:nvPicPr>
            <xdr:cNvPr id="31" name="Picture 30" descr="FlagSelect.QF4 ">
              <a:extLst>
                <a:ext uri="{FF2B5EF4-FFF2-40B4-BE49-F238E27FC236}">
                  <a16:creationId xmlns:a16="http://schemas.microsoft.com/office/drawing/2014/main" id="{00000000-0008-0000-0900-00001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4" spid="_x0000_s1097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2918115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32202</xdr:colOff>
          <xdr:row>24</xdr:row>
          <xdr:rowOff>0</xdr:rowOff>
        </xdr:from>
        <xdr:ext cx="402336" cy="309489"/>
        <xdr:pic>
          <xdr:nvPicPr>
            <xdr:cNvPr id="32" name="Picture 31" descr="FlagSelect.SF2 ">
              <a:extLst>
                <a:ext uri="{FF2B5EF4-FFF2-40B4-BE49-F238E27FC236}">
                  <a16:creationId xmlns:a16="http://schemas.microsoft.com/office/drawing/2014/main" id="{00000000-0008-0000-0900-00002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SF2" spid="_x0000_s1097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383520" y="2537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xdr:twoCellAnchor>
    <xdr:from>
      <xdr:col>8</xdr:col>
      <xdr:colOff>0</xdr:colOff>
      <xdr:row>4</xdr:row>
      <xdr:rowOff>3284</xdr:rowOff>
    </xdr:from>
    <xdr:to>
      <xdr:col>8</xdr:col>
      <xdr:colOff>175260</xdr:colOff>
      <xdr:row>14</xdr:row>
      <xdr:rowOff>83820</xdr:rowOff>
    </xdr:to>
    <xdr:sp macro="" textlink="">
      <xdr:nvSpPr>
        <xdr:cNvPr id="45" name="Right Brace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4831080" y="620504"/>
          <a:ext cx="175260" cy="994936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344521</xdr:colOff>
      <xdr:row>24</xdr:row>
      <xdr:rowOff>0</xdr:rowOff>
    </xdr:from>
    <xdr:to>
      <xdr:col>12</xdr:col>
      <xdr:colOff>190500</xdr:colOff>
      <xdr:row>59</xdr:row>
      <xdr:rowOff>0</xdr:rowOff>
    </xdr:to>
    <xdr:sp macro="" textlink="">
      <xdr:nvSpPr>
        <xdr:cNvPr id="47" name="Right Brace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/>
      </xdr:nvSpPr>
      <xdr:spPr>
        <a:xfrm>
          <a:off x="6966301" y="2446020"/>
          <a:ext cx="234599" cy="3200400"/>
        </a:xfrm>
        <a:prstGeom prst="rightBrace">
          <a:avLst>
            <a:gd name="adj1" fmla="val 86287"/>
            <a:gd name="adj2" fmla="val 72706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36</xdr:row>
          <xdr:rowOff>0</xdr:rowOff>
        </xdr:from>
        <xdr:ext cx="402336" cy="309489"/>
        <xdr:pic>
          <xdr:nvPicPr>
            <xdr:cNvPr id="49" name="Picture 48" descr="FlagSelect.QF5 ">
              <a:extLst>
                <a:ext uri="{FF2B5EF4-FFF2-40B4-BE49-F238E27FC236}">
                  <a16:creationId xmlns:a16="http://schemas.microsoft.com/office/drawing/2014/main" id="{00000000-0008-0000-0900-00003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5" spid="_x0000_s1097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3680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32202</xdr:colOff>
          <xdr:row>40</xdr:row>
          <xdr:rowOff>0</xdr:rowOff>
        </xdr:from>
        <xdr:ext cx="402336" cy="309489"/>
        <xdr:pic>
          <xdr:nvPicPr>
            <xdr:cNvPr id="50" name="Picture 49" descr="FlagSelect.SF3 ">
              <a:extLst>
                <a:ext uri="{FF2B5EF4-FFF2-40B4-BE49-F238E27FC236}">
                  <a16:creationId xmlns:a16="http://schemas.microsoft.com/office/drawing/2014/main" id="{00000000-0008-0000-0900-00003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SF3" spid="_x0000_s1097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383520" y="4061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32203</xdr:colOff>
          <xdr:row>44</xdr:row>
          <xdr:rowOff>0</xdr:rowOff>
        </xdr:from>
        <xdr:ext cx="402336" cy="309489"/>
        <xdr:pic>
          <xdr:nvPicPr>
            <xdr:cNvPr id="51" name="Picture 50" descr="FlagSelect.F3 ">
              <a:extLst>
                <a:ext uri="{FF2B5EF4-FFF2-40B4-BE49-F238E27FC236}">
                  <a16:creationId xmlns:a16="http://schemas.microsoft.com/office/drawing/2014/main" id="{00000000-0008-0000-0900-00003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F3" spid="_x0000_s1097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487680" y="4442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39664</xdr:colOff>
          <xdr:row>38</xdr:row>
          <xdr:rowOff>7941</xdr:rowOff>
        </xdr:from>
        <xdr:ext cx="392278" cy="301752"/>
        <xdr:pic>
          <xdr:nvPicPr>
            <xdr:cNvPr id="52" name="Picture 51" descr="'Group A'!FlagSelect.RU ">
              <a:extLst>
                <a:ext uri="{FF2B5EF4-FFF2-40B4-BE49-F238E27FC236}">
                  <a16:creationId xmlns:a16="http://schemas.microsoft.com/office/drawing/2014/main" id="{00000000-0008-0000-0900-00003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RU" spid="_x0000_s10976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3664" y="3878555"/>
              <a:ext cx="392278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46</xdr:row>
          <xdr:rowOff>9357</xdr:rowOff>
        </xdr:from>
        <xdr:ext cx="402336" cy="272258"/>
        <xdr:pic>
          <xdr:nvPicPr>
            <xdr:cNvPr id="54" name="Picture 53" descr="'Group C'!FlagSelect.RU ">
              <a:extLst>
                <a:ext uri="{FF2B5EF4-FFF2-40B4-BE49-F238E27FC236}">
                  <a16:creationId xmlns:a16="http://schemas.microsoft.com/office/drawing/2014/main" id="{00000000-0008-0000-0900-00003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RU" spid="_x0000_s10977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4641971"/>
              <a:ext cx="402336" cy="272258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53</xdr:row>
          <xdr:rowOff>93922</xdr:rowOff>
        </xdr:from>
        <xdr:ext cx="402336" cy="309489"/>
        <xdr:pic>
          <xdr:nvPicPr>
            <xdr:cNvPr id="56" name="Picture 55" descr="'Group E'!FlagSelect.RU ">
              <a:extLst>
                <a:ext uri="{FF2B5EF4-FFF2-40B4-BE49-F238E27FC236}">
                  <a16:creationId xmlns:a16="http://schemas.microsoft.com/office/drawing/2014/main" id="{00000000-0008-0000-0900-00003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RU" spid="_x0000_s10978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5393286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39664</xdr:colOff>
          <xdr:row>62</xdr:row>
          <xdr:rowOff>0</xdr:rowOff>
        </xdr:from>
        <xdr:ext cx="392278" cy="301752"/>
        <xdr:pic>
          <xdr:nvPicPr>
            <xdr:cNvPr id="58" name="Picture 57" descr="'Group G'!FlagSelect.RU ">
              <a:extLst>
                <a:ext uri="{FF2B5EF4-FFF2-40B4-BE49-F238E27FC236}">
                  <a16:creationId xmlns:a16="http://schemas.microsoft.com/office/drawing/2014/main" id="{00000000-0008-0000-0900-00003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RU" spid="_x0000_s10979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3664" y="6156614"/>
              <a:ext cx="392278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44</xdr:row>
          <xdr:rowOff>0</xdr:rowOff>
        </xdr:from>
        <xdr:ext cx="402336" cy="309489"/>
        <xdr:pic>
          <xdr:nvPicPr>
            <xdr:cNvPr id="59" name="Picture 58" descr="FlagSelect.QF6 ">
              <a:extLst>
                <a:ext uri="{FF2B5EF4-FFF2-40B4-BE49-F238E27FC236}">
                  <a16:creationId xmlns:a16="http://schemas.microsoft.com/office/drawing/2014/main" id="{00000000-0008-0000-0900-00003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[0]!FlagSelect.QF6" spid="_x0000_s1098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4442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52</xdr:row>
          <xdr:rowOff>4141</xdr:rowOff>
        </xdr:from>
        <xdr:ext cx="402336" cy="309489"/>
        <xdr:pic>
          <xdr:nvPicPr>
            <xdr:cNvPr id="60" name="Picture 59" descr="FlagSelect.QF7 ">
              <a:extLst>
                <a:ext uri="{FF2B5EF4-FFF2-40B4-BE49-F238E27FC236}">
                  <a16:creationId xmlns:a16="http://schemas.microsoft.com/office/drawing/2014/main" id="{00000000-0008-0000-0900-00003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7" spid="_x0000_s1098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5208255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32203</xdr:colOff>
          <xdr:row>60</xdr:row>
          <xdr:rowOff>2</xdr:rowOff>
        </xdr:from>
        <xdr:ext cx="402336" cy="309489"/>
        <xdr:pic>
          <xdr:nvPicPr>
            <xdr:cNvPr id="61" name="Picture 60" descr="FlagSelect.QF8 ">
              <a:extLst>
                <a:ext uri="{FF2B5EF4-FFF2-40B4-BE49-F238E27FC236}">
                  <a16:creationId xmlns:a16="http://schemas.microsoft.com/office/drawing/2014/main" id="{00000000-0008-0000-0900-00003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QF8" spid="_x0000_s1098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469862" y="5966116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32202</xdr:colOff>
          <xdr:row>56</xdr:row>
          <xdr:rowOff>0</xdr:rowOff>
        </xdr:from>
        <xdr:ext cx="402336" cy="309489"/>
        <xdr:pic>
          <xdr:nvPicPr>
            <xdr:cNvPr id="62" name="Picture 61" descr="FlagSelect.SF4 ">
              <a:extLst>
                <a:ext uri="{FF2B5EF4-FFF2-40B4-BE49-F238E27FC236}">
                  <a16:creationId xmlns:a16="http://schemas.microsoft.com/office/drawing/2014/main" id="{00000000-0008-0000-0900-00003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SF4" spid="_x0000_s1098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383520" y="5585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xdr:twoCellAnchor>
    <xdr:from>
      <xdr:col>11</xdr:col>
      <xdr:colOff>344521</xdr:colOff>
      <xdr:row>8</xdr:row>
      <xdr:rowOff>0</xdr:rowOff>
    </xdr:from>
    <xdr:to>
      <xdr:col>12</xdr:col>
      <xdr:colOff>190500</xdr:colOff>
      <xdr:row>43</xdr:row>
      <xdr:rowOff>0</xdr:rowOff>
    </xdr:to>
    <xdr:sp macro="" textlink="">
      <xdr:nvSpPr>
        <xdr:cNvPr id="69" name="Right Brace 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SpPr/>
      </xdr:nvSpPr>
      <xdr:spPr>
        <a:xfrm>
          <a:off x="6966301" y="982980"/>
          <a:ext cx="234599" cy="3200400"/>
        </a:xfrm>
        <a:prstGeom prst="rightBrace">
          <a:avLst>
            <a:gd name="adj1" fmla="val 66799"/>
            <a:gd name="adj2" fmla="val 27237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32203</xdr:colOff>
          <xdr:row>12</xdr:row>
          <xdr:rowOff>0</xdr:rowOff>
        </xdr:from>
        <xdr:ext cx="402336" cy="309489"/>
        <xdr:pic>
          <xdr:nvPicPr>
            <xdr:cNvPr id="73" name="Picture 72" descr="FlagSelect.F1 ">
              <a:extLst>
                <a:ext uri="{FF2B5EF4-FFF2-40B4-BE49-F238E27FC236}">
                  <a16:creationId xmlns:a16="http://schemas.microsoft.com/office/drawing/2014/main" id="{00000000-0008-0000-0900-00004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F1" spid="_x0000_s1098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487680" y="1394114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32203</xdr:colOff>
          <xdr:row>52</xdr:row>
          <xdr:rowOff>4141</xdr:rowOff>
        </xdr:from>
        <xdr:ext cx="402336" cy="309489"/>
        <xdr:pic>
          <xdr:nvPicPr>
            <xdr:cNvPr id="74" name="Picture 73" descr="FlagSelect.F4 ">
              <a:extLst>
                <a:ext uri="{FF2B5EF4-FFF2-40B4-BE49-F238E27FC236}">
                  <a16:creationId xmlns:a16="http://schemas.microsoft.com/office/drawing/2014/main" id="{00000000-0008-0000-0900-00004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F4" spid="_x0000_s1098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487680" y="5208255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70915</xdr:colOff>
          <xdr:row>20</xdr:row>
          <xdr:rowOff>3966</xdr:rowOff>
        </xdr:from>
        <xdr:ext cx="402336" cy="309489"/>
        <xdr:pic>
          <xdr:nvPicPr>
            <xdr:cNvPr id="75" name="Picture 74" descr="FlagSelect.Winner ">
              <a:extLst>
                <a:ext uri="{FF2B5EF4-FFF2-40B4-BE49-F238E27FC236}">
                  <a16:creationId xmlns:a16="http://schemas.microsoft.com/office/drawing/2014/main" id="{00000000-0008-0000-0900-00004B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Winner" spid="_x0000_s10986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864347" y="2160080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70915</xdr:colOff>
          <xdr:row>28</xdr:row>
          <xdr:rowOff>3965</xdr:rowOff>
        </xdr:from>
        <xdr:ext cx="402336" cy="309489"/>
        <xdr:pic>
          <xdr:nvPicPr>
            <xdr:cNvPr id="76" name="Picture 75" descr="FlagSelect.RU ">
              <a:extLst>
                <a:ext uri="{FF2B5EF4-FFF2-40B4-BE49-F238E27FC236}">
                  <a16:creationId xmlns:a16="http://schemas.microsoft.com/office/drawing/2014/main" id="{00000000-0008-0000-0900-00004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RU" spid="_x0000_s10987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864347" y="2922079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70915</xdr:colOff>
          <xdr:row>36</xdr:row>
          <xdr:rowOff>3966</xdr:rowOff>
        </xdr:from>
        <xdr:ext cx="402336" cy="309489"/>
        <xdr:pic>
          <xdr:nvPicPr>
            <xdr:cNvPr id="77" name="Picture 76" descr="FlagSelect.3rd ">
              <a:extLst>
                <a:ext uri="{FF2B5EF4-FFF2-40B4-BE49-F238E27FC236}">
                  <a16:creationId xmlns:a16="http://schemas.microsoft.com/office/drawing/2014/main" id="{00000000-0008-0000-0900-00004D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3rd" spid="_x0000_s10988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864347" y="3684080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70915</xdr:colOff>
          <xdr:row>44</xdr:row>
          <xdr:rowOff>3965</xdr:rowOff>
        </xdr:from>
        <xdr:ext cx="402336" cy="309489"/>
        <xdr:pic>
          <xdr:nvPicPr>
            <xdr:cNvPr id="78" name="Picture 77" descr="FlagSelect.4th ">
              <a:extLst>
                <a:ext uri="{FF2B5EF4-FFF2-40B4-BE49-F238E27FC236}">
                  <a16:creationId xmlns:a16="http://schemas.microsoft.com/office/drawing/2014/main" id="{00000000-0008-0000-0900-00004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Knock-Out'!FlagSelect.4th" spid="_x0000_s10989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864347" y="4446079"/>
              <a:ext cx="402336" cy="309489"/>
            </a:xfrm>
            <a:prstGeom prst="rect">
              <a:avLst/>
            </a:prstGeom>
          </xdr:spPr>
        </xdr:pic>
        <xdr:clientData/>
      </xdr:oneCellAnchor>
    </mc:Choice>
    <mc:Fallback/>
  </mc:AlternateContent>
  <xdr:twoCellAnchor>
    <xdr:from>
      <xdr:col>13</xdr:col>
      <xdr:colOff>1</xdr:colOff>
      <xdr:row>12</xdr:row>
      <xdr:rowOff>0</xdr:rowOff>
    </xdr:from>
    <xdr:to>
      <xdr:col>13</xdr:col>
      <xdr:colOff>190500</xdr:colOff>
      <xdr:row>23</xdr:row>
      <xdr:rowOff>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231381" y="1348740"/>
          <a:ext cx="190499" cy="1005840"/>
        </a:xfrm>
        <a:prstGeom prst="leftBrace">
          <a:avLst>
            <a:gd name="adj1" fmla="val 80333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1</xdr:colOff>
      <xdr:row>44</xdr:row>
      <xdr:rowOff>0</xdr:rowOff>
    </xdr:from>
    <xdr:to>
      <xdr:col>13</xdr:col>
      <xdr:colOff>190500</xdr:colOff>
      <xdr:row>55</xdr:row>
      <xdr:rowOff>0</xdr:rowOff>
    </xdr:to>
    <xdr:sp macro="" textlink="">
      <xdr:nvSpPr>
        <xdr:cNvPr id="70" name="Left Brace 69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SpPr/>
      </xdr:nvSpPr>
      <xdr:spPr>
        <a:xfrm>
          <a:off x="7231381" y="4274820"/>
          <a:ext cx="190499" cy="1005840"/>
        </a:xfrm>
        <a:prstGeom prst="leftBrace">
          <a:avLst>
            <a:gd name="adj1" fmla="val 84333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419101</xdr:colOff>
      <xdr:row>19</xdr:row>
      <xdr:rowOff>89656</xdr:rowOff>
    </xdr:from>
    <xdr:to>
      <xdr:col>18</xdr:col>
      <xdr:colOff>0</xdr:colOff>
      <xdr:row>31</xdr:row>
      <xdr:rowOff>0</xdr:rowOff>
    </xdr:to>
    <xdr:sp macro="" textlink="">
      <xdr:nvSpPr>
        <xdr:cNvPr id="71" name="Left Brace 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SpPr/>
      </xdr:nvSpPr>
      <xdr:spPr>
        <a:xfrm>
          <a:off x="9829801" y="2078476"/>
          <a:ext cx="274319" cy="1007624"/>
        </a:xfrm>
        <a:prstGeom prst="leftBrace">
          <a:avLst>
            <a:gd name="adj1" fmla="val 61111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419101</xdr:colOff>
      <xdr:row>36</xdr:row>
      <xdr:rowOff>0</xdr:rowOff>
    </xdr:from>
    <xdr:to>
      <xdr:col>18</xdr:col>
      <xdr:colOff>0</xdr:colOff>
      <xdr:row>46</xdr:row>
      <xdr:rowOff>89656</xdr:rowOff>
    </xdr:to>
    <xdr:sp macro="" textlink="">
      <xdr:nvSpPr>
        <xdr:cNvPr id="72" name="Left Brace 71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SpPr/>
      </xdr:nvSpPr>
      <xdr:spPr>
        <a:xfrm>
          <a:off x="9829801" y="3543300"/>
          <a:ext cx="274319" cy="1004056"/>
        </a:xfrm>
        <a:prstGeom prst="leftBrace">
          <a:avLst>
            <a:gd name="adj1" fmla="val 52778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7620</xdr:colOff>
      <xdr:row>44</xdr:row>
      <xdr:rowOff>5310</xdr:rowOff>
    </xdr:from>
    <xdr:to>
      <xdr:col>17</xdr:col>
      <xdr:colOff>190500</xdr:colOff>
      <xdr:row>55</xdr:row>
      <xdr:rowOff>0</xdr:rowOff>
    </xdr:to>
    <xdr:sp macro="" textlink="">
      <xdr:nvSpPr>
        <xdr:cNvPr id="79" name="Right Brace 7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SpPr/>
      </xdr:nvSpPr>
      <xdr:spPr>
        <a:xfrm>
          <a:off x="9418320" y="4280130"/>
          <a:ext cx="182880" cy="1000530"/>
        </a:xfrm>
        <a:prstGeom prst="rightBrace">
          <a:avLst>
            <a:gd name="adj1" fmla="val 4406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0</xdr:colOff>
      <xdr:row>12</xdr:row>
      <xdr:rowOff>0</xdr:rowOff>
    </xdr:from>
    <xdr:to>
      <xdr:col>17</xdr:col>
      <xdr:colOff>190500</xdr:colOff>
      <xdr:row>23</xdr:row>
      <xdr:rowOff>2553</xdr:rowOff>
    </xdr:to>
    <xdr:sp macro="" textlink="">
      <xdr:nvSpPr>
        <xdr:cNvPr id="80" name="Right Brace 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SpPr/>
      </xdr:nvSpPr>
      <xdr:spPr>
        <a:xfrm>
          <a:off x="9410700" y="1348740"/>
          <a:ext cx="190500" cy="1008393"/>
        </a:xfrm>
        <a:prstGeom prst="rightBrace">
          <a:avLst>
            <a:gd name="adj1" fmla="val 53806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190500</xdr:colOff>
      <xdr:row>17</xdr:row>
      <xdr:rowOff>46997</xdr:rowOff>
    </xdr:from>
    <xdr:to>
      <xdr:col>17</xdr:col>
      <xdr:colOff>419101</xdr:colOff>
      <xdr:row>25</xdr:row>
      <xdr:rowOff>44828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>
          <a:stCxn id="80" idx="1"/>
          <a:endCxn id="71" idx="1"/>
        </xdr:cNvCxnSpPr>
      </xdr:nvCxnSpPr>
      <xdr:spPr>
        <a:xfrm>
          <a:off x="9601200" y="1852937"/>
          <a:ext cx="228601" cy="729351"/>
        </a:xfrm>
        <a:prstGeom prst="line">
          <a:avLst/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190500</xdr:colOff>
      <xdr:row>41</xdr:row>
      <xdr:rowOff>44828</xdr:rowOff>
    </xdr:from>
    <xdr:to>
      <xdr:col>17</xdr:col>
      <xdr:colOff>419101</xdr:colOff>
      <xdr:row>49</xdr:row>
      <xdr:rowOff>48375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CxnSpPr>
          <a:stCxn id="72" idx="1"/>
          <a:endCxn id="79" idx="1"/>
        </xdr:cNvCxnSpPr>
      </xdr:nvCxnSpPr>
      <xdr:spPr>
        <a:xfrm flipH="1">
          <a:off x="9601200" y="4045328"/>
          <a:ext cx="228601" cy="735067"/>
        </a:xfrm>
        <a:prstGeom prst="line">
          <a:avLst/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65</xdr:row>
      <xdr:rowOff>114300</xdr:rowOff>
    </xdr:from>
    <xdr:to>
      <xdr:col>21</xdr:col>
      <xdr:colOff>0</xdr:colOff>
      <xdr:row>69</xdr:row>
      <xdr:rowOff>15240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SpPr txBox="1"/>
      </xdr:nvSpPr>
      <xdr:spPr>
        <a:xfrm>
          <a:off x="0" y="6248400"/>
          <a:ext cx="11132820" cy="59436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>
    <xdr:from>
      <xdr:col>16</xdr:col>
      <xdr:colOff>158115</xdr:colOff>
      <xdr:row>61</xdr:row>
      <xdr:rowOff>45720</xdr:rowOff>
    </xdr:from>
    <xdr:to>
      <xdr:col>20</xdr:col>
      <xdr:colOff>173355</xdr:colOff>
      <xdr:row>65</xdr:row>
      <xdr:rowOff>1905</xdr:rowOff>
    </xdr:to>
    <xdr:sp macro="" textlink="">
      <xdr:nvSpPr>
        <xdr:cNvPr id="11" name="Chevro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 flipH="1">
          <a:off x="8044815" y="6103620"/>
          <a:ext cx="2348865" cy="337185"/>
        </a:xfrm>
        <a:prstGeom prst="chevron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C00000"/>
          </a:solidFill>
        </a:ln>
        <a:effectLst>
          <a:outerShdw blurRad="50800" dist="38100" dir="2700000" algn="tl" rotWithShape="0">
            <a:schemeClr val="bg1">
              <a:lumMod val="50000"/>
              <a:alpha val="40000"/>
            </a:schemeClr>
          </a:outerShdw>
        </a:effectLst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600">
              <a:solidFill>
                <a:sysClr val="windowText" lastClr="000000"/>
              </a:solidFill>
            </a:rPr>
            <a:t>Return to group stage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10</xdr:row>
          <xdr:rowOff>9151</xdr:rowOff>
        </xdr:from>
        <xdr:ext cx="402336" cy="276606"/>
        <xdr:pic>
          <xdr:nvPicPr>
            <xdr:cNvPr id="94" name="Picture 93" descr="'Group C'!FlagSelect.Win ">
              <a:extLst>
                <a:ext uri="{FF2B5EF4-FFF2-40B4-BE49-F238E27FC236}">
                  <a16:creationId xmlns:a16="http://schemas.microsoft.com/office/drawing/2014/main" id="{00000000-0008-0000-0900-00005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Win" spid="_x0000_s1099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1212765"/>
              <a:ext cx="402336" cy="276606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37683</xdr:colOff>
          <xdr:row>18</xdr:row>
          <xdr:rowOff>11398</xdr:rowOff>
        </xdr:from>
        <xdr:ext cx="396240" cy="301752"/>
        <xdr:pic>
          <xdr:nvPicPr>
            <xdr:cNvPr id="96" name="Picture 95" descr="'Group E'!FlagSelect.Win ">
              <a:extLst>
                <a:ext uri="{FF2B5EF4-FFF2-40B4-BE49-F238E27FC236}">
                  <a16:creationId xmlns:a16="http://schemas.microsoft.com/office/drawing/2014/main" id="{00000000-0008-0000-0900-00006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Win" spid="_x0000_s1099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61683" y="1977012"/>
              <a:ext cx="396240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26</xdr:row>
          <xdr:rowOff>21473</xdr:rowOff>
        </xdr:from>
        <xdr:ext cx="402336" cy="276606"/>
        <xdr:pic>
          <xdr:nvPicPr>
            <xdr:cNvPr id="98" name="Picture 97" descr="'Group G'!FlagSelect.Win ">
              <a:extLst>
                <a:ext uri="{FF2B5EF4-FFF2-40B4-BE49-F238E27FC236}">
                  <a16:creationId xmlns:a16="http://schemas.microsoft.com/office/drawing/2014/main" id="{00000000-0008-0000-0900-00006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Win" spid="_x0000_s1099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2749087"/>
              <a:ext cx="402336" cy="276606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34</xdr:row>
          <xdr:rowOff>15061</xdr:rowOff>
        </xdr:from>
        <xdr:ext cx="402336" cy="276606"/>
        <xdr:pic>
          <xdr:nvPicPr>
            <xdr:cNvPr id="100" name="Picture 99" descr="'Group B'!FlagSelect.Win ">
              <a:extLst>
                <a:ext uri="{FF2B5EF4-FFF2-40B4-BE49-F238E27FC236}">
                  <a16:creationId xmlns:a16="http://schemas.microsoft.com/office/drawing/2014/main" id="{00000000-0008-0000-0900-00006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Win" spid="_x0000_s1099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3504675"/>
              <a:ext cx="402336" cy="276606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33111</xdr:colOff>
          <xdr:row>42</xdr:row>
          <xdr:rowOff>17308</xdr:rowOff>
        </xdr:from>
        <xdr:ext cx="405384" cy="301752"/>
        <xdr:pic>
          <xdr:nvPicPr>
            <xdr:cNvPr id="102" name="Picture 101" descr="'Group D'!FlagSelect.Win ">
              <a:extLst>
                <a:ext uri="{FF2B5EF4-FFF2-40B4-BE49-F238E27FC236}">
                  <a16:creationId xmlns:a16="http://schemas.microsoft.com/office/drawing/2014/main" id="{00000000-0008-0000-0900-000066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Win" spid="_x0000_s1099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7111" y="4268922"/>
              <a:ext cx="405384" cy="301752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50</xdr:row>
          <xdr:rowOff>6548</xdr:rowOff>
        </xdr:from>
        <xdr:ext cx="402336" cy="284509"/>
        <xdr:pic>
          <xdr:nvPicPr>
            <xdr:cNvPr id="104" name="Picture 103" descr="'Group F'!FlagSelect.Win ">
              <a:extLst>
                <a:ext uri="{FF2B5EF4-FFF2-40B4-BE49-F238E27FC236}">
                  <a16:creationId xmlns:a16="http://schemas.microsoft.com/office/drawing/2014/main" id="{00000000-0008-0000-0900-00006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Win" spid="_x0000_s1099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5020162"/>
              <a:ext cx="402336" cy="284509"/>
            </a:xfrm>
            <a:prstGeom prst="rect">
              <a:avLst/>
            </a:prstGeom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34635</xdr:colOff>
          <xdr:row>58</xdr:row>
          <xdr:rowOff>15776</xdr:rowOff>
        </xdr:from>
        <xdr:ext cx="402336" cy="276606"/>
        <xdr:pic>
          <xdr:nvPicPr>
            <xdr:cNvPr id="106" name="Picture 105" descr="'Group H'!FlagSelect.Win ">
              <a:extLst>
                <a:ext uri="{FF2B5EF4-FFF2-40B4-BE49-F238E27FC236}">
                  <a16:creationId xmlns:a16="http://schemas.microsoft.com/office/drawing/2014/main" id="{00000000-0008-0000-0900-00006A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Win" spid="_x0000_s10996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558635" y="5791390"/>
              <a:ext cx="402336" cy="276606"/>
            </a:xfrm>
            <a:prstGeom prst="rect">
              <a:avLst/>
            </a:prstGeom>
          </xdr:spPr>
        </xdr:pic>
        <xdr:clientData/>
      </xdr:oneCellAnchor>
    </mc:Choice>
    <mc:Fallback/>
  </mc:AlternateContent>
  <xdr:twoCellAnchor editAs="oneCell">
    <xdr:from>
      <xdr:col>17</xdr:col>
      <xdr:colOff>428625</xdr:colOff>
      <xdr:row>2</xdr:row>
      <xdr:rowOff>19050</xdr:rowOff>
    </xdr:from>
    <xdr:to>
      <xdr:col>20</xdr:col>
      <xdr:colOff>63297</xdr:colOff>
      <xdr:row>15</xdr:row>
      <xdr:rowOff>12546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457200"/>
          <a:ext cx="1625397" cy="1231746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18</xdr:col>
      <xdr:colOff>0</xdr:colOff>
      <xdr:row>55</xdr:row>
      <xdr:rowOff>0</xdr:rowOff>
    </xdr:from>
    <xdr:to>
      <xdr:col>20</xdr:col>
      <xdr:colOff>244272</xdr:colOff>
      <xdr:row>59</xdr:row>
      <xdr:rowOff>25349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5486400"/>
          <a:ext cx="1625397" cy="40634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</xdr:row>
      <xdr:rowOff>7620</xdr:rowOff>
    </xdr:from>
    <xdr:to>
      <xdr:col>4</xdr:col>
      <xdr:colOff>152400</xdr:colOff>
      <xdr:row>17</xdr:row>
      <xdr:rowOff>4337</xdr:rowOff>
    </xdr:to>
    <xdr:sp macro="" textlink="">
      <xdr:nvSpPr>
        <xdr:cNvPr id="86" name="Right Brace 85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117348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152400</xdr:colOff>
      <xdr:row>24</xdr:row>
      <xdr:rowOff>88157</xdr:rowOff>
    </xdr:to>
    <xdr:sp macro="" textlink="">
      <xdr:nvSpPr>
        <xdr:cNvPr id="87" name="Right Brace 86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189738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152400</xdr:colOff>
      <xdr:row>32</xdr:row>
      <xdr:rowOff>88157</xdr:rowOff>
    </xdr:to>
    <xdr:sp macro="" textlink="">
      <xdr:nvSpPr>
        <xdr:cNvPr id="88" name="Right Brace 87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262890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152400</xdr:colOff>
      <xdr:row>40</xdr:row>
      <xdr:rowOff>88157</xdr:rowOff>
    </xdr:to>
    <xdr:sp macro="" textlink="">
      <xdr:nvSpPr>
        <xdr:cNvPr id="89" name="Right Brace 88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336042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152400</xdr:colOff>
      <xdr:row>48</xdr:row>
      <xdr:rowOff>88157</xdr:rowOff>
    </xdr:to>
    <xdr:sp macro="" textlink="">
      <xdr:nvSpPr>
        <xdr:cNvPr id="90" name="Right Brace 89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409194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152400</xdr:colOff>
      <xdr:row>56</xdr:row>
      <xdr:rowOff>88157</xdr:rowOff>
    </xdr:to>
    <xdr:sp macro="" textlink="">
      <xdr:nvSpPr>
        <xdr:cNvPr id="91" name="Right Brace 9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482346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58</xdr:row>
      <xdr:rowOff>0</xdr:rowOff>
    </xdr:from>
    <xdr:to>
      <xdr:col>4</xdr:col>
      <xdr:colOff>152400</xdr:colOff>
      <xdr:row>64</xdr:row>
      <xdr:rowOff>88157</xdr:rowOff>
    </xdr:to>
    <xdr:sp macro="" textlink="">
      <xdr:nvSpPr>
        <xdr:cNvPr id="92" name="Right Brace 91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555498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152400</xdr:colOff>
      <xdr:row>8</xdr:row>
      <xdr:rowOff>88157</xdr:rowOff>
    </xdr:to>
    <xdr:sp macro="" textlink="">
      <xdr:nvSpPr>
        <xdr:cNvPr id="93" name="Right Brace 92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2651760" y="434340"/>
          <a:ext cx="152400" cy="636797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175260</xdr:colOff>
      <xdr:row>30</xdr:row>
      <xdr:rowOff>80536</xdr:rowOff>
    </xdr:to>
    <xdr:sp macro="" textlink="">
      <xdr:nvSpPr>
        <xdr:cNvPr id="95" name="Right Brace 9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4831080" y="2080260"/>
          <a:ext cx="175260" cy="994936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0</xdr:colOff>
      <xdr:row>36</xdr:row>
      <xdr:rowOff>0</xdr:rowOff>
    </xdr:from>
    <xdr:to>
      <xdr:col>8</xdr:col>
      <xdr:colOff>175260</xdr:colOff>
      <xdr:row>46</xdr:row>
      <xdr:rowOff>80536</xdr:rowOff>
    </xdr:to>
    <xdr:sp macro="" textlink="">
      <xdr:nvSpPr>
        <xdr:cNvPr id="97" name="Right Brace 96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4831080" y="3543300"/>
          <a:ext cx="175260" cy="994936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0</xdr:colOff>
      <xdr:row>52</xdr:row>
      <xdr:rowOff>0</xdr:rowOff>
    </xdr:from>
    <xdr:to>
      <xdr:col>8</xdr:col>
      <xdr:colOff>175260</xdr:colOff>
      <xdr:row>62</xdr:row>
      <xdr:rowOff>80536</xdr:rowOff>
    </xdr:to>
    <xdr:sp macro="" textlink="">
      <xdr:nvSpPr>
        <xdr:cNvPr id="99" name="Right Brace 98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4831080" y="5006340"/>
          <a:ext cx="175260" cy="994936"/>
        </a:xfrm>
        <a:prstGeom prst="rightBrace">
          <a:avLst>
            <a:gd name="adj1" fmla="val 49712"/>
            <a:gd name="adj2" fmla="val 50000"/>
          </a:avLst>
        </a:prstGeom>
        <a:ln w="127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16752</xdr:colOff>
      <xdr:row>0</xdr:row>
      <xdr:rowOff>309286</xdr:rowOff>
    </xdr:from>
    <xdr:to>
      <xdr:col>8</xdr:col>
      <xdr:colOff>461890</xdr:colOff>
      <xdr:row>2</xdr:row>
      <xdr:rowOff>39186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2" y="309286"/>
          <a:ext cx="445138" cy="400460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</xdr:row>
      <xdr:rowOff>270050</xdr:rowOff>
    </xdr:from>
    <xdr:to>
      <xdr:col>8</xdr:col>
      <xdr:colOff>461890</xdr:colOff>
      <xdr:row>3</xdr:row>
      <xdr:rowOff>43965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62819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</xdr:row>
      <xdr:rowOff>270050</xdr:rowOff>
    </xdr:from>
    <xdr:to>
      <xdr:col>8</xdr:col>
      <xdr:colOff>461890</xdr:colOff>
      <xdr:row>4</xdr:row>
      <xdr:rowOff>43965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94061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3</xdr:row>
      <xdr:rowOff>270050</xdr:rowOff>
    </xdr:from>
    <xdr:to>
      <xdr:col>8</xdr:col>
      <xdr:colOff>461890</xdr:colOff>
      <xdr:row>5</xdr:row>
      <xdr:rowOff>43965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125303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4</xdr:row>
      <xdr:rowOff>270050</xdr:rowOff>
    </xdr:from>
    <xdr:to>
      <xdr:col>8</xdr:col>
      <xdr:colOff>461890</xdr:colOff>
      <xdr:row>6</xdr:row>
      <xdr:rowOff>43965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156545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5</xdr:row>
      <xdr:rowOff>270050</xdr:rowOff>
    </xdr:from>
    <xdr:to>
      <xdr:col>8</xdr:col>
      <xdr:colOff>461890</xdr:colOff>
      <xdr:row>7</xdr:row>
      <xdr:rowOff>43965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187787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6</xdr:row>
      <xdr:rowOff>270050</xdr:rowOff>
    </xdr:from>
    <xdr:to>
      <xdr:col>8</xdr:col>
      <xdr:colOff>461890</xdr:colOff>
      <xdr:row>8</xdr:row>
      <xdr:rowOff>43965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219029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7</xdr:row>
      <xdr:rowOff>270050</xdr:rowOff>
    </xdr:from>
    <xdr:to>
      <xdr:col>8</xdr:col>
      <xdr:colOff>461890</xdr:colOff>
      <xdr:row>9</xdr:row>
      <xdr:rowOff>43965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250271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8</xdr:row>
      <xdr:rowOff>270050</xdr:rowOff>
    </xdr:from>
    <xdr:to>
      <xdr:col>8</xdr:col>
      <xdr:colOff>461890</xdr:colOff>
      <xdr:row>10</xdr:row>
      <xdr:rowOff>43965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281513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9</xdr:row>
      <xdr:rowOff>270050</xdr:rowOff>
    </xdr:from>
    <xdr:to>
      <xdr:col>8</xdr:col>
      <xdr:colOff>461890</xdr:colOff>
      <xdr:row>11</xdr:row>
      <xdr:rowOff>43965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312755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10</xdr:row>
      <xdr:rowOff>270050</xdr:rowOff>
    </xdr:from>
    <xdr:to>
      <xdr:col>8</xdr:col>
      <xdr:colOff>461890</xdr:colOff>
      <xdr:row>12</xdr:row>
      <xdr:rowOff>43965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343997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11</xdr:row>
      <xdr:rowOff>270050</xdr:rowOff>
    </xdr:from>
    <xdr:to>
      <xdr:col>8</xdr:col>
      <xdr:colOff>461890</xdr:colOff>
      <xdr:row>13</xdr:row>
      <xdr:rowOff>43965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375239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12</xdr:row>
      <xdr:rowOff>270050</xdr:rowOff>
    </xdr:from>
    <xdr:to>
      <xdr:col>8</xdr:col>
      <xdr:colOff>461890</xdr:colOff>
      <xdr:row>14</xdr:row>
      <xdr:rowOff>43965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406481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13</xdr:row>
      <xdr:rowOff>270050</xdr:rowOff>
    </xdr:from>
    <xdr:to>
      <xdr:col>8</xdr:col>
      <xdr:colOff>461890</xdr:colOff>
      <xdr:row>15</xdr:row>
      <xdr:rowOff>43965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437723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14</xdr:row>
      <xdr:rowOff>270050</xdr:rowOff>
    </xdr:from>
    <xdr:to>
      <xdr:col>8</xdr:col>
      <xdr:colOff>461890</xdr:colOff>
      <xdr:row>16</xdr:row>
      <xdr:rowOff>43965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468965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19</xdr:row>
      <xdr:rowOff>270050</xdr:rowOff>
    </xdr:from>
    <xdr:to>
      <xdr:col>8</xdr:col>
      <xdr:colOff>461890</xdr:colOff>
      <xdr:row>21</xdr:row>
      <xdr:rowOff>43965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625175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15</xdr:row>
      <xdr:rowOff>270050</xdr:rowOff>
    </xdr:from>
    <xdr:to>
      <xdr:col>8</xdr:col>
      <xdr:colOff>461890</xdr:colOff>
      <xdr:row>17</xdr:row>
      <xdr:rowOff>43965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500207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16</xdr:row>
      <xdr:rowOff>270050</xdr:rowOff>
    </xdr:from>
    <xdr:to>
      <xdr:col>8</xdr:col>
      <xdr:colOff>461890</xdr:colOff>
      <xdr:row>18</xdr:row>
      <xdr:rowOff>43965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531449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17</xdr:row>
      <xdr:rowOff>270050</xdr:rowOff>
    </xdr:from>
    <xdr:to>
      <xdr:col>8</xdr:col>
      <xdr:colOff>461890</xdr:colOff>
      <xdr:row>19</xdr:row>
      <xdr:rowOff>43965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562691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18</xdr:row>
      <xdr:rowOff>270050</xdr:rowOff>
    </xdr:from>
    <xdr:to>
      <xdr:col>8</xdr:col>
      <xdr:colOff>461890</xdr:colOff>
      <xdr:row>20</xdr:row>
      <xdr:rowOff>43965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A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593933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20</xdr:row>
      <xdr:rowOff>270050</xdr:rowOff>
    </xdr:from>
    <xdr:to>
      <xdr:col>8</xdr:col>
      <xdr:colOff>461890</xdr:colOff>
      <xdr:row>22</xdr:row>
      <xdr:rowOff>43965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A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656417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21</xdr:row>
      <xdr:rowOff>270050</xdr:rowOff>
    </xdr:from>
    <xdr:to>
      <xdr:col>8</xdr:col>
      <xdr:colOff>461890</xdr:colOff>
      <xdr:row>23</xdr:row>
      <xdr:rowOff>43965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A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687659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22</xdr:row>
      <xdr:rowOff>270050</xdr:rowOff>
    </xdr:from>
    <xdr:to>
      <xdr:col>8</xdr:col>
      <xdr:colOff>461890</xdr:colOff>
      <xdr:row>24</xdr:row>
      <xdr:rowOff>43965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A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718901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23</xdr:row>
      <xdr:rowOff>270050</xdr:rowOff>
    </xdr:from>
    <xdr:to>
      <xdr:col>8</xdr:col>
      <xdr:colOff>461890</xdr:colOff>
      <xdr:row>25</xdr:row>
      <xdr:rowOff>43965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A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750143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24</xdr:row>
      <xdr:rowOff>270050</xdr:rowOff>
    </xdr:from>
    <xdr:to>
      <xdr:col>8</xdr:col>
      <xdr:colOff>461890</xdr:colOff>
      <xdr:row>26</xdr:row>
      <xdr:rowOff>43965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A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781385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25</xdr:row>
      <xdr:rowOff>270050</xdr:rowOff>
    </xdr:from>
    <xdr:to>
      <xdr:col>8</xdr:col>
      <xdr:colOff>461890</xdr:colOff>
      <xdr:row>27</xdr:row>
      <xdr:rowOff>43965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A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812627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26</xdr:row>
      <xdr:rowOff>270050</xdr:rowOff>
    </xdr:from>
    <xdr:to>
      <xdr:col>8</xdr:col>
      <xdr:colOff>461890</xdr:colOff>
      <xdr:row>28</xdr:row>
      <xdr:rowOff>43965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A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843869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27</xdr:row>
      <xdr:rowOff>270050</xdr:rowOff>
    </xdr:from>
    <xdr:to>
      <xdr:col>8</xdr:col>
      <xdr:colOff>461890</xdr:colOff>
      <xdr:row>29</xdr:row>
      <xdr:rowOff>43965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A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875111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28</xdr:row>
      <xdr:rowOff>270050</xdr:rowOff>
    </xdr:from>
    <xdr:to>
      <xdr:col>8</xdr:col>
      <xdr:colOff>461890</xdr:colOff>
      <xdr:row>30</xdr:row>
      <xdr:rowOff>43965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0000000-0008-0000-0A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906353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29</xdr:row>
      <xdr:rowOff>270050</xdr:rowOff>
    </xdr:from>
    <xdr:to>
      <xdr:col>8</xdr:col>
      <xdr:colOff>461890</xdr:colOff>
      <xdr:row>31</xdr:row>
      <xdr:rowOff>43965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0A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937595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30</xdr:row>
      <xdr:rowOff>270050</xdr:rowOff>
    </xdr:from>
    <xdr:to>
      <xdr:col>8</xdr:col>
      <xdr:colOff>461890</xdr:colOff>
      <xdr:row>32</xdr:row>
      <xdr:rowOff>43965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00000000-0008-0000-0A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9688370"/>
          <a:ext cx="445139" cy="398755"/>
        </a:xfrm>
        <a:prstGeom prst="rect">
          <a:avLst/>
        </a:prstGeom>
        <a:effectLst/>
      </xdr:spPr>
    </xdr:pic>
    <xdr:clientData/>
  </xdr:twoCellAnchor>
  <xdr:twoCellAnchor editAs="oneCell">
    <xdr:from>
      <xdr:col>8</xdr:col>
      <xdr:colOff>16751</xdr:colOff>
      <xdr:row>31</xdr:row>
      <xdr:rowOff>270050</xdr:rowOff>
    </xdr:from>
    <xdr:to>
      <xdr:col>8</xdr:col>
      <xdr:colOff>461890</xdr:colOff>
      <xdr:row>33</xdr:row>
      <xdr:rowOff>43965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00000000-0008-0000-0A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631" y="10000790"/>
          <a:ext cx="445139" cy="398755"/>
        </a:xfrm>
        <a:prstGeom prst="rect">
          <a:avLst/>
        </a:prstGeom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9380" y="3268980"/>
          <a:ext cx="457200" cy="31750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2540</xdr:rowOff>
    </xdr:from>
    <xdr:to>
      <xdr:col>5</xdr:col>
      <xdr:colOff>508000</xdr:colOff>
      <xdr:row>9</xdr:row>
      <xdr:rowOff>15240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29380" y="3728720"/>
          <a:ext cx="457200" cy="31750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5080</xdr:rowOff>
    </xdr:from>
    <xdr:to>
      <xdr:col>5</xdr:col>
      <xdr:colOff>508000</xdr:colOff>
      <xdr:row>11</xdr:row>
      <xdr:rowOff>5080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9380" y="4188460"/>
          <a:ext cx="457200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11</xdr:row>
      <xdr:rowOff>147320</xdr:rowOff>
    </xdr:from>
    <xdr:to>
      <xdr:col>5</xdr:col>
      <xdr:colOff>508000</xdr:colOff>
      <xdr:row>13</xdr:row>
      <xdr:rowOff>7620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9380" y="4643120"/>
          <a:ext cx="457200" cy="31750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13</xdr:row>
      <xdr:rowOff>149860</xdr:rowOff>
    </xdr:from>
    <xdr:to>
      <xdr:col>5</xdr:col>
      <xdr:colOff>508000</xdr:colOff>
      <xdr:row>15</xdr:row>
      <xdr:rowOff>10160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29380" y="5102860"/>
          <a:ext cx="457200" cy="31750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29380" y="5562600"/>
          <a:ext cx="457200" cy="317500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19458</xdr:colOff>
          <xdr:row>8</xdr:row>
          <xdr:rowOff>16478</xdr:rowOff>
        </xdr:from>
        <xdr:to>
          <xdr:col>13</xdr:col>
          <xdr:colOff>476658</xdr:colOff>
          <xdr:row>9</xdr:row>
          <xdr:rowOff>29178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1st" spid="_x0000_s40058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321833" y="3731228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10</xdr:row>
          <xdr:rowOff>19050</xdr:rowOff>
        </xdr:from>
        <xdr:to>
          <xdr:col>13</xdr:col>
          <xdr:colOff>469900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  <a:ext uri="{C183D7F6-B498-43B3-948B-1728B52AA6E4}">
                  <adec:decorative xmlns="" xmlns:adec="http://schemas.microsoft.com/office/drawing/2017/decorative" val="0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2nd" spid="_x0000_s40059"/>
                </a:ext>
              </a:extLst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6315075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12</xdr:row>
          <xdr:rowOff>12699</xdr:rowOff>
        </xdr:from>
        <xdr:to>
          <xdr:col>13</xdr:col>
          <xdr:colOff>469900</xdr:colOff>
          <xdr:row>13</xdr:row>
          <xdr:rowOff>25399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3rd" spid="_x0000_s40060"/>
                </a:ext>
              </a:extLst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6473825" y="4648199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</xdr:colOff>
          <xdr:row>14</xdr:row>
          <xdr:rowOff>9525</xdr:rowOff>
        </xdr:from>
        <xdr:to>
          <xdr:col>13</xdr:col>
          <xdr:colOff>479425</xdr:colOff>
          <xdr:row>15</xdr:row>
          <xdr:rowOff>22225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4th" spid="_x0000_s40061"/>
                </a:ext>
              </a:extLst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6324600" y="50974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39688</xdr:colOff>
          <xdr:row>19</xdr:row>
          <xdr:rowOff>6351</xdr:rowOff>
        </xdr:from>
        <xdr:to>
          <xdr:col>5</xdr:col>
          <xdr:colOff>496888</xdr:colOff>
          <xdr:row>20</xdr:row>
          <xdr:rowOff>636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Win" spid="_x0000_s40062"/>
                </a:ext>
              </a:extLst>
            </xdr:cNvPicPr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3429001" y="6237289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39688</xdr:colOff>
          <xdr:row>19</xdr:row>
          <xdr:rowOff>6351</xdr:rowOff>
        </xdr:from>
        <xdr:to>
          <xdr:col>9</xdr:col>
          <xdr:colOff>496888</xdr:colOff>
          <xdr:row>20</xdr:row>
          <xdr:rowOff>636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A'!FlagSelect.RU" spid="_x0000_s40063"/>
                </a:ext>
              </a:extLst>
            </xdr:cNvPicPr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4865688" y="6237289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24</xdr:col>
      <xdr:colOff>57150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0" y="0"/>
          <a:ext cx="10048875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4400" b="1" cap="none" spc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Arial Black" panose="020B0A04020102020204" pitchFamily="34" charset="0"/>
            </a:rPr>
            <a:t>WORLD</a:t>
          </a:r>
          <a:r>
            <a:rPr lang="en-GB" sz="4400" b="1" cap="none" spc="0" baseline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Arial Black" panose="020B0A04020102020204" pitchFamily="34" charset="0"/>
            </a:rPr>
            <a:t> CUP</a:t>
          </a:r>
          <a:r>
            <a:rPr lang="en-GB" sz="4400" b="1" cap="none" spc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Arial Black" panose="020B0A04020102020204" pitchFamily="34" charset="0"/>
            </a:rPr>
            <a:t> 2018 RUSSIA</a:t>
          </a:r>
        </a:p>
      </xdr:txBody>
    </xdr:sp>
    <xdr:clientData/>
  </xdr:twoCellAnchor>
  <xdr:twoCellAnchor>
    <xdr:from>
      <xdr:col>0</xdr:col>
      <xdr:colOff>0</xdr:colOff>
      <xdr:row>0</xdr:row>
      <xdr:rowOff>701040</xdr:rowOff>
    </xdr:from>
    <xdr:to>
      <xdr:col>24</xdr:col>
      <xdr:colOff>7620</xdr:colOff>
      <xdr:row>2</xdr:row>
      <xdr:rowOff>335280</xdr:rowOff>
    </xdr:to>
    <xdr:sp macro="" textlink="">
      <xdr:nvSpPr>
        <xdr:cNvPr id="22" name="Rectangle 21"/>
        <xdr:cNvSpPr/>
      </xdr:nvSpPr>
      <xdr:spPr>
        <a:xfrm>
          <a:off x="0" y="70104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>
    <xdr:from>
      <xdr:col>0</xdr:col>
      <xdr:colOff>63500</xdr:colOff>
      <xdr:row>1</xdr:row>
      <xdr:rowOff>0</xdr:rowOff>
    </xdr:from>
    <xdr:to>
      <xdr:col>2</xdr:col>
      <xdr:colOff>876208</xdr:colOff>
      <xdr:row>3</xdr:row>
      <xdr:rowOff>9525</xdr:rowOff>
    </xdr:to>
    <xdr:grpSp>
      <xdr:nvGrpSpPr>
        <xdr:cNvPr id="90" name="Group 89"/>
        <xdr:cNvGrpSpPr/>
      </xdr:nvGrpSpPr>
      <xdr:grpSpPr>
        <a:xfrm>
          <a:off x="63500" y="762000"/>
          <a:ext cx="1193708" cy="1967865"/>
          <a:chOff x="63500" y="762000"/>
          <a:chExt cx="1193708" cy="1967865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/>
        </xdr:nvSpPr>
        <xdr:spPr>
          <a:xfrm>
            <a:off x="63500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/>
        </xdr:nvSpPr>
        <xdr:spPr>
          <a:xfrm>
            <a:off x="63500" y="953055"/>
            <a:ext cx="1193708" cy="382110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A</a:t>
            </a:r>
          </a:p>
        </xdr:txBody>
      </xdr:sp>
      <xdr:sp macro="" textlink="GroupA.concat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63500" y="1335165"/>
            <a:ext cx="1193708" cy="993485"/>
          </a:xfrm>
          <a:prstGeom prst="rect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rtlCol="0" anchor="ctr"/>
          <a:lstStyle/>
          <a:p>
            <a:pPr algn="l"/>
            <a:fld id="{B2B05069-AAF1-4A50-B082-4EB5C7F1A1BC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روسیه
عربستان
مصر
اروگوئه</a:t>
            </a:fld>
            <a:endParaRPr lang="en-GB" sz="1200">
              <a:solidFill>
                <a:schemeClr val="bg1"/>
              </a:solidFill>
            </a:endParaRPr>
          </a:p>
        </xdr:txBody>
      </xdr:sp>
      <xdr:sp macro="" textlink="">
        <xdr:nvSpPr>
          <xdr:cNvPr id="37" name="Isosceles Triang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/>
        </xdr:nvSpPr>
        <xdr:spPr>
          <a:xfrm flipV="1">
            <a:off x="63500" y="2328650"/>
            <a:ext cx="1193708" cy="401215"/>
          </a:xfrm>
          <a:prstGeom prst="triangle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CxnSpPr/>
        </xdr:nvCxnSpPr>
        <xdr:spPr>
          <a:xfrm>
            <a:off x="63500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941320</xdr:colOff>
      <xdr:row>1</xdr:row>
      <xdr:rowOff>0</xdr:rowOff>
    </xdr:from>
    <xdr:to>
      <xdr:col>3</xdr:col>
      <xdr:colOff>1167288</xdr:colOff>
      <xdr:row>1</xdr:row>
      <xdr:rowOff>1566650</xdr:rowOff>
    </xdr:to>
    <xdr:grpSp>
      <xdr:nvGrpSpPr>
        <xdr:cNvPr id="89" name="Group 88">
          <a:hlinkClick xmlns:r="http://schemas.openxmlformats.org/officeDocument/2006/relationships" r:id="rId17"/>
        </xdr:cNvPr>
        <xdr:cNvGrpSpPr/>
      </xdr:nvGrpSpPr>
      <xdr:grpSpPr>
        <a:xfrm>
          <a:off x="1322320" y="762000"/>
          <a:ext cx="1193708" cy="1566650"/>
          <a:chOff x="1322320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/>
        </xdr:nvSpPr>
        <xdr:spPr>
          <a:xfrm>
            <a:off x="1322320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/>
        </xdr:nvSpPr>
        <xdr:spPr>
          <a:xfrm>
            <a:off x="1322320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B</a:t>
            </a:r>
          </a:p>
        </xdr:txBody>
      </xdr:sp>
      <xdr:sp macro="" textlink="GroupB.concat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/>
        </xdr:nvSpPr>
        <xdr:spPr>
          <a:xfrm>
            <a:off x="1322320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48EAD615-B99E-432B-8EC0-1D36C4212F39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پرتغال
اسپانیا
مراکش
ایران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CxnSpPr/>
        </xdr:nvCxnSpPr>
        <xdr:spPr>
          <a:xfrm>
            <a:off x="1322320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1232399</xdr:colOff>
      <xdr:row>1</xdr:row>
      <xdr:rowOff>0</xdr:rowOff>
    </xdr:from>
    <xdr:to>
      <xdr:col>4</xdr:col>
      <xdr:colOff>985927</xdr:colOff>
      <xdr:row>1</xdr:row>
      <xdr:rowOff>1566650</xdr:rowOff>
    </xdr:to>
    <xdr:grpSp>
      <xdr:nvGrpSpPr>
        <xdr:cNvPr id="88" name="Group 87">
          <a:hlinkClick xmlns:r="http://schemas.openxmlformats.org/officeDocument/2006/relationships" r:id="rId18"/>
        </xdr:cNvPr>
        <xdr:cNvGrpSpPr/>
      </xdr:nvGrpSpPr>
      <xdr:grpSpPr>
        <a:xfrm>
          <a:off x="2581139" y="762000"/>
          <a:ext cx="1193708" cy="1566650"/>
          <a:chOff x="2581139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100-00002C000000}"/>
              </a:ext>
            </a:extLst>
          </xdr:cNvPr>
          <xdr:cNvSpPr/>
        </xdr:nvSpPr>
        <xdr:spPr>
          <a:xfrm>
            <a:off x="2581139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/>
        </xdr:nvSpPr>
        <xdr:spPr>
          <a:xfrm>
            <a:off x="2581139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C</a:t>
            </a:r>
          </a:p>
        </xdr:txBody>
      </xdr:sp>
      <xdr:sp macro="" textlink="GroupC.concat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/>
        </xdr:nvSpPr>
        <xdr:spPr>
          <a:xfrm>
            <a:off x="2581139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F54BB364-88A5-413F-B93F-D6C82719892E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فرانسه
استرالیا
پرو
دانمارک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CxnSpPr/>
        </xdr:nvCxnSpPr>
        <xdr:spPr>
          <a:xfrm>
            <a:off x="2581139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1051039</xdr:colOff>
      <xdr:row>1</xdr:row>
      <xdr:rowOff>0</xdr:rowOff>
    </xdr:from>
    <xdr:to>
      <xdr:col>7</xdr:col>
      <xdr:colOff>164487</xdr:colOff>
      <xdr:row>1</xdr:row>
      <xdr:rowOff>1566650</xdr:rowOff>
    </xdr:to>
    <xdr:grpSp>
      <xdr:nvGrpSpPr>
        <xdr:cNvPr id="87" name="Group 86">
          <a:hlinkClick xmlns:r="http://schemas.openxmlformats.org/officeDocument/2006/relationships" r:id="rId19"/>
        </xdr:cNvPr>
        <xdr:cNvGrpSpPr/>
      </xdr:nvGrpSpPr>
      <xdr:grpSpPr>
        <a:xfrm>
          <a:off x="3839959" y="762000"/>
          <a:ext cx="1193708" cy="1566650"/>
          <a:chOff x="3839959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/>
        </xdr:nvSpPr>
        <xdr:spPr>
          <a:xfrm>
            <a:off x="3839959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50" name="Rectangle 49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SpPr/>
        </xdr:nvSpPr>
        <xdr:spPr>
          <a:xfrm>
            <a:off x="3839959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D</a:t>
            </a:r>
          </a:p>
        </xdr:txBody>
      </xdr:sp>
      <xdr:sp macro="" textlink="GroupD.concat">
        <xdr:nvSpPr>
          <xdr:cNvPr id="51" name="Rectangle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SpPr/>
        </xdr:nvSpPr>
        <xdr:spPr>
          <a:xfrm>
            <a:off x="3839959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15DF66C6-1617-4102-A935-5868AA17EF13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آرژانتین
ایسلند
کروواسی
نیجریه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CxnSpPr/>
        </xdr:nvCxnSpPr>
        <xdr:spPr>
          <a:xfrm>
            <a:off x="3839959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229598</xdr:colOff>
      <xdr:row>1</xdr:row>
      <xdr:rowOff>0</xdr:rowOff>
    </xdr:from>
    <xdr:to>
      <xdr:col>10</xdr:col>
      <xdr:colOff>173626</xdr:colOff>
      <xdr:row>1</xdr:row>
      <xdr:rowOff>1566650</xdr:rowOff>
    </xdr:to>
    <xdr:grpSp>
      <xdr:nvGrpSpPr>
        <xdr:cNvPr id="86" name="Group 85">
          <a:hlinkClick xmlns:r="http://schemas.openxmlformats.org/officeDocument/2006/relationships" r:id="rId20"/>
        </xdr:cNvPr>
        <xdr:cNvGrpSpPr/>
      </xdr:nvGrpSpPr>
      <xdr:grpSpPr>
        <a:xfrm>
          <a:off x="5098778" y="762000"/>
          <a:ext cx="1193708" cy="1566650"/>
          <a:chOff x="5098778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/>
        </xdr:nvSpPr>
        <xdr:spPr>
          <a:xfrm>
            <a:off x="5098778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/>
        </xdr:nvSpPr>
        <xdr:spPr>
          <a:xfrm>
            <a:off x="5098778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E</a:t>
            </a:r>
          </a:p>
        </xdr:txBody>
      </xdr:sp>
      <xdr:sp macro="" textlink="GroupE.concat">
        <xdr:nvSpPr>
          <xdr:cNvPr id="56" name="Rectangle 55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/>
        </xdr:nvSpPr>
        <xdr:spPr>
          <a:xfrm>
            <a:off x="5098778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CC05A699-5778-4835-A389-E93F2386613E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برزیل
سوییس
کاستاریکا
صربستان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CxnSpPr/>
        </xdr:nvCxnSpPr>
        <xdr:spPr>
          <a:xfrm>
            <a:off x="5098778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238738</xdr:colOff>
      <xdr:row>1</xdr:row>
      <xdr:rowOff>0</xdr:rowOff>
    </xdr:from>
    <xdr:to>
      <xdr:col>13</xdr:col>
      <xdr:colOff>175146</xdr:colOff>
      <xdr:row>1</xdr:row>
      <xdr:rowOff>1566650</xdr:rowOff>
    </xdr:to>
    <xdr:grpSp>
      <xdr:nvGrpSpPr>
        <xdr:cNvPr id="85" name="Group 84">
          <a:hlinkClick xmlns:r="http://schemas.openxmlformats.org/officeDocument/2006/relationships" r:id="rId21"/>
        </xdr:cNvPr>
        <xdr:cNvGrpSpPr/>
      </xdr:nvGrpSpPr>
      <xdr:grpSpPr>
        <a:xfrm>
          <a:off x="6357598" y="762000"/>
          <a:ext cx="1193708" cy="1566650"/>
          <a:chOff x="6357598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/>
        </xdr:nvSpPr>
        <xdr:spPr>
          <a:xfrm>
            <a:off x="6357598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/>
        </xdr:nvSpPr>
        <xdr:spPr>
          <a:xfrm>
            <a:off x="6357598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F</a:t>
            </a:r>
          </a:p>
        </xdr:txBody>
      </xdr:sp>
      <xdr:sp macro="" textlink="GroupF.concat">
        <xdr:nvSpPr>
          <xdr:cNvPr id="61" name="Rectangle 60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/>
        </xdr:nvSpPr>
        <xdr:spPr>
          <a:xfrm>
            <a:off x="6357598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7708B812-8AEA-4008-9187-1E6EC99956FA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آلمان
مکزیک
سوئد
کره جنوبی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CxnSpPr/>
        </xdr:nvCxnSpPr>
        <xdr:spPr>
          <a:xfrm>
            <a:off x="6357598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240258</xdr:colOff>
      <xdr:row>1</xdr:row>
      <xdr:rowOff>0</xdr:rowOff>
    </xdr:from>
    <xdr:to>
      <xdr:col>14</xdr:col>
      <xdr:colOff>824366</xdr:colOff>
      <xdr:row>1</xdr:row>
      <xdr:rowOff>1566650</xdr:rowOff>
    </xdr:to>
    <xdr:grpSp>
      <xdr:nvGrpSpPr>
        <xdr:cNvPr id="84" name="Group 83">
          <a:hlinkClick xmlns:r="http://schemas.openxmlformats.org/officeDocument/2006/relationships" r:id="rId22"/>
        </xdr:cNvPr>
        <xdr:cNvGrpSpPr/>
      </xdr:nvGrpSpPr>
      <xdr:grpSpPr>
        <a:xfrm>
          <a:off x="7616418" y="762000"/>
          <a:ext cx="1193708" cy="1566650"/>
          <a:chOff x="7616418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/>
        </xdr:nvSpPr>
        <xdr:spPr>
          <a:xfrm>
            <a:off x="7616418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00000000-0008-0000-0100-000041000000}"/>
              </a:ext>
            </a:extLst>
          </xdr:cNvPr>
          <xdr:cNvSpPr/>
        </xdr:nvSpPr>
        <xdr:spPr>
          <a:xfrm>
            <a:off x="7616418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G</a:t>
            </a:r>
          </a:p>
        </xdr:txBody>
      </xdr:sp>
      <xdr:sp macro="" textlink="GroupG.concat">
        <xdr:nvSpPr>
          <xdr:cNvPr id="66" name="Rectangle 65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SpPr/>
        </xdr:nvSpPr>
        <xdr:spPr>
          <a:xfrm>
            <a:off x="7616418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65D4B922-320A-4C39-A4A4-61E766F3B3AC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بلژیک
پاناما
تونس
انگلستان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CxnSpPr/>
        </xdr:nvCxnSpPr>
        <xdr:spPr>
          <a:xfrm>
            <a:off x="7616418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889477</xdr:colOff>
      <xdr:row>1</xdr:row>
      <xdr:rowOff>0</xdr:rowOff>
    </xdr:from>
    <xdr:to>
      <xdr:col>19</xdr:col>
      <xdr:colOff>201045</xdr:colOff>
      <xdr:row>1</xdr:row>
      <xdr:rowOff>1566650</xdr:rowOff>
    </xdr:to>
    <xdr:grpSp>
      <xdr:nvGrpSpPr>
        <xdr:cNvPr id="82" name="Group 81">
          <a:hlinkClick xmlns:r="http://schemas.openxmlformats.org/officeDocument/2006/relationships" r:id="rId23"/>
        </xdr:cNvPr>
        <xdr:cNvGrpSpPr/>
      </xdr:nvGrpSpPr>
      <xdr:grpSpPr>
        <a:xfrm>
          <a:off x="8875237" y="762000"/>
          <a:ext cx="1193708" cy="1566650"/>
          <a:chOff x="8875237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SpPr/>
        </xdr:nvSpPr>
        <xdr:spPr>
          <a:xfrm>
            <a:off x="8875237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SpPr/>
        </xdr:nvSpPr>
        <xdr:spPr>
          <a:xfrm>
            <a:off x="8875237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H</a:t>
            </a:r>
          </a:p>
        </xdr:txBody>
      </xdr:sp>
      <xdr:sp macro="" textlink="GroupH.concat">
        <xdr:nvSpPr>
          <xdr:cNvPr id="71" name="Rectangle 70">
            <a:extLst>
              <a:ext uri="{FF2B5EF4-FFF2-40B4-BE49-F238E27FC236}">
                <a16:creationId xmlns:a16="http://schemas.microsoft.com/office/drawing/2014/main" id="{00000000-0008-0000-0100-000047000000}"/>
              </a:ext>
            </a:extLst>
          </xdr:cNvPr>
          <xdr:cNvSpPr/>
        </xdr:nvSpPr>
        <xdr:spPr>
          <a:xfrm>
            <a:off x="8875237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888E42C5-0A48-473A-BAB4-AFF944D58ADD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لهستان
سنگال
کلمبیا
ژاپن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CxnSpPr/>
        </xdr:nvCxnSpPr>
        <xdr:spPr>
          <a:xfrm>
            <a:off x="8875237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266157</xdr:colOff>
      <xdr:row>1</xdr:row>
      <xdr:rowOff>0</xdr:rowOff>
    </xdr:from>
    <xdr:to>
      <xdr:col>23</xdr:col>
      <xdr:colOff>263525</xdr:colOff>
      <xdr:row>1</xdr:row>
      <xdr:rowOff>1566650</xdr:rowOff>
    </xdr:to>
    <xdr:grpSp>
      <xdr:nvGrpSpPr>
        <xdr:cNvPr id="81" name="Group 80">
          <a:hlinkClick xmlns:r="http://schemas.openxmlformats.org/officeDocument/2006/relationships" r:id="rId24"/>
        </xdr:cNvPr>
        <xdr:cNvGrpSpPr/>
      </xdr:nvGrpSpPr>
      <xdr:grpSpPr>
        <a:xfrm>
          <a:off x="10134057" y="762000"/>
          <a:ext cx="1193708" cy="1566650"/>
          <a:chOff x="10134057" y="762000"/>
          <a:chExt cx="1193708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00000000-0008-0000-0100-00004A000000}"/>
              </a:ext>
            </a:extLst>
          </xdr:cNvPr>
          <xdr:cNvSpPr/>
        </xdr:nvSpPr>
        <xdr:spPr>
          <a:xfrm>
            <a:off x="10134057" y="762000"/>
            <a:ext cx="1193708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en-GB" sz="1100" b="1"/>
          </a:p>
        </xdr:txBody>
      </xdr: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/>
        </xdr:nvSpPr>
        <xdr:spPr>
          <a:xfrm>
            <a:off x="10134057" y="953055"/>
            <a:ext cx="1193708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chemeClr val="tx1"/>
                </a:solidFill>
              </a:rPr>
              <a:t>KO</a:t>
            </a:r>
          </a:p>
        </xdr:txBody>
      </xdr:sp>
      <xdr:sp macro="" textlink="Knockout.concat">
        <xdr:nvSpPr>
          <xdr:cNvPr id="76" name="Rectangle 75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/>
        </xdr:nvSpPr>
        <xdr:spPr>
          <a:xfrm>
            <a:off x="10134057" y="1335165"/>
            <a:ext cx="1193708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9CC2DEF-675A-45BD-8B17-F4556A8F92D5}" type="TxLink">
              <a:rPr lang="fa-IR" sz="1100" b="0" i="0" u="none" strike="noStrike">
                <a:solidFill>
                  <a:schemeClr val="bg1"/>
                </a:solidFill>
                <a:latin typeface="+mn-lt"/>
                <a:cs typeface="Arial"/>
              </a:rPr>
              <a:pPr algn="ctr"/>
              <a:t>مرحله حذفی</a:t>
            </a:fld>
            <a:endParaRPr lang="en-US" sz="1200" b="0" i="0" u="none" strike="noStrike">
              <a:solidFill>
                <a:schemeClr val="bg1"/>
              </a:solidFill>
              <a:latin typeface="+mn-lt"/>
              <a:cs typeface="Calibri"/>
            </a:endParaRPr>
          </a:p>
        </xdr:txBody>
      </xdr: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00000000-0008-0000-0100-00004D000000}"/>
              </a:ext>
            </a:extLst>
          </xdr:cNvPr>
          <xdr:cNvCxnSpPr/>
        </xdr:nvCxnSpPr>
        <xdr:spPr>
          <a:xfrm>
            <a:off x="10134057" y="1335165"/>
            <a:ext cx="1193708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85725</xdr:colOff>
      <xdr:row>19</xdr:row>
      <xdr:rowOff>71439</xdr:rowOff>
    </xdr:from>
    <xdr:to>
      <xdr:col>3</xdr:col>
      <xdr:colOff>236537</xdr:colOff>
      <xdr:row>20</xdr:row>
      <xdr:rowOff>25402</xdr:rowOff>
    </xdr:to>
    <xdr:sp macro="" textlink="">
      <xdr:nvSpPr>
        <xdr:cNvPr id="21" name="Chevron 2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 flipH="1">
          <a:off x="161925" y="6319839"/>
          <a:ext cx="1255712" cy="277813"/>
        </a:xfrm>
        <a:prstGeom prst="chevron">
          <a:avLst>
            <a:gd name="adj" fmla="val 81428"/>
          </a:avLst>
        </a:prstGeom>
        <a:solidFill>
          <a:srgbClr val="FF0000"/>
        </a:solidFill>
        <a:ln>
          <a:solidFill>
            <a:schemeClr val="bg1">
              <a:lumMod val="6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/>
        <a:lstStyle/>
        <a:p>
          <a:pPr algn="l"/>
          <a:r>
            <a:rPr lang="en-GB" sz="1100">
              <a:solidFill>
                <a:schemeClr val="bg1"/>
              </a:solidFill>
            </a:rPr>
            <a:t>Initial screen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13493</xdr:colOff>
          <xdr:row>8</xdr:row>
          <xdr:rowOff>16478</xdr:rowOff>
        </xdr:from>
        <xdr:to>
          <xdr:col>13</xdr:col>
          <xdr:colOff>470693</xdr:colOff>
          <xdr:row>9</xdr:row>
          <xdr:rowOff>29178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1st" spid="_x0000_s23673"/>
                </a:ext>
              </a:extLst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6458743" y="3731228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13493</xdr:colOff>
          <xdr:row>10</xdr:row>
          <xdr:rowOff>19050</xdr:rowOff>
        </xdr:from>
        <xdr:to>
          <xdr:col>13</xdr:col>
          <xdr:colOff>470693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2nd" spid="_x0000_s23674"/>
                </a:ext>
              </a:extLst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6458743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13493</xdr:colOff>
          <xdr:row>12</xdr:row>
          <xdr:rowOff>4763</xdr:rowOff>
        </xdr:from>
        <xdr:to>
          <xdr:col>13</xdr:col>
          <xdr:colOff>470693</xdr:colOff>
          <xdr:row>13</xdr:row>
          <xdr:rowOff>17463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3rd" spid="_x0000_s23675"/>
                </a:ext>
              </a:extLst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6458743" y="46402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13493</xdr:colOff>
          <xdr:row>14</xdr:row>
          <xdr:rowOff>9525</xdr:rowOff>
        </xdr:from>
        <xdr:to>
          <xdr:col>13</xdr:col>
          <xdr:colOff>470693</xdr:colOff>
          <xdr:row>15</xdr:row>
          <xdr:rowOff>22225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4th" spid="_x0000_s23676"/>
                </a:ext>
              </a:extLst>
            </xdr:cNvPicPr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6458743" y="50974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39688</xdr:colOff>
          <xdr:row>19</xdr:row>
          <xdr:rowOff>14288</xdr:rowOff>
        </xdr:from>
        <xdr:to>
          <xdr:col>5</xdr:col>
          <xdr:colOff>496888</xdr:colOff>
          <xdr:row>20</xdr:row>
          <xdr:rowOff>3176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Win" spid="_x0000_s23677"/>
                </a:ext>
              </a:extLst>
            </xdr:cNvPicPr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3429001" y="6245226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</xdr:colOff>
          <xdr:row>19</xdr:row>
          <xdr:rowOff>14288</xdr:rowOff>
        </xdr:from>
        <xdr:to>
          <xdr:col>9</xdr:col>
          <xdr:colOff>481012</xdr:colOff>
          <xdr:row>20</xdr:row>
          <xdr:rowOff>3176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B'!FlagSelect.RU" spid="_x0000_s23678"/>
                </a:ext>
              </a:extLst>
            </xdr:cNvPicPr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4833937" y="6245226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0</xdr:colOff>
      <xdr:row>0</xdr:row>
      <xdr:rowOff>678180</xdr:rowOff>
    </xdr:from>
    <xdr:to>
      <xdr:col>24</xdr:col>
      <xdr:colOff>45720</xdr:colOff>
      <xdr:row>3</xdr:row>
      <xdr:rowOff>45720</xdr:rowOff>
    </xdr:to>
    <xdr:sp macro="" textlink="">
      <xdr:nvSpPr>
        <xdr:cNvPr id="68" name="Rectangle 67"/>
        <xdr:cNvSpPr/>
      </xdr:nvSpPr>
      <xdr:spPr>
        <a:xfrm>
          <a:off x="0" y="678180"/>
          <a:ext cx="11437620" cy="20878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24</xdr:col>
      <xdr:colOff>57150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0" y="0"/>
          <a:ext cx="10029825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</xdr:col>
      <xdr:colOff>876141</xdr:colOff>
      <xdr:row>1</xdr:row>
      <xdr:rowOff>1566650</xdr:rowOff>
    </xdr:to>
    <xdr:grpSp>
      <xdr:nvGrpSpPr>
        <xdr:cNvPr id="69" name="Group 68">
          <a:hlinkClick xmlns:r="http://schemas.openxmlformats.org/officeDocument/2006/relationships" r:id="rId18"/>
        </xdr:cNvPr>
        <xdr:cNvGrpSpPr/>
      </xdr:nvGrpSpPr>
      <xdr:grpSpPr>
        <a:xfrm>
          <a:off x="63500" y="762000"/>
          <a:ext cx="1193641" cy="1566650"/>
          <a:chOff x="63500" y="762000"/>
          <a:chExt cx="1193641" cy="156665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63500" y="762000"/>
            <a:ext cx="1193641" cy="191055"/>
          </a:xfrm>
          <a:prstGeom prst="rect">
            <a:avLst/>
          </a:prstGeom>
          <a:solidFill>
            <a:srgbClr val="2F5597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3500" y="953055"/>
            <a:ext cx="1193641" cy="382110"/>
          </a:xfrm>
          <a:prstGeom prst="rect">
            <a:avLst/>
          </a:prstGeom>
          <a:solidFill>
            <a:srgbClr val="8FAAD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A</a:t>
            </a:r>
          </a:p>
        </xdr:txBody>
      </xdr:sp>
      <xdr:sp macro="" textlink="GroupA.concat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3500" y="1335165"/>
            <a:ext cx="1193641" cy="993485"/>
          </a:xfrm>
          <a:prstGeom prst="rect">
            <a:avLst/>
          </a:prstGeom>
          <a:solidFill>
            <a:srgbClr val="4472C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B2B05069-AAF1-4A50-B082-4EB5C7F1A1BC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روسیه
عربستان
مصر
اروگوئه</a:t>
            </a:fld>
            <a:endParaRPr lang="en-GB" sz="1200">
              <a:solidFill>
                <a:schemeClr val="bg1"/>
              </a:solidFill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CxnSpPr/>
        </xdr:nvCxnSpPr>
        <xdr:spPr>
          <a:xfrm>
            <a:off x="63500" y="1335165"/>
            <a:ext cx="1193641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2</xdr:col>
      <xdr:colOff>941249</xdr:colOff>
      <xdr:row>1</xdr:row>
      <xdr:rowOff>0</xdr:rowOff>
    </xdr:from>
    <xdr:to>
      <xdr:col>3</xdr:col>
      <xdr:colOff>1167150</xdr:colOff>
      <xdr:row>3</xdr:row>
      <xdr:rowOff>9525</xdr:rowOff>
    </xdr:to>
    <xdr:grpSp>
      <xdr:nvGrpSpPr>
        <xdr:cNvPr id="70" name="Group 69"/>
        <xdr:cNvGrpSpPr/>
      </xdr:nvGrpSpPr>
      <xdr:grpSpPr>
        <a:xfrm>
          <a:off x="1322249" y="762000"/>
          <a:ext cx="1193641" cy="1967865"/>
          <a:chOff x="1322249" y="762000"/>
          <a:chExt cx="1193641" cy="1967865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/>
        </xdr:nvSpPr>
        <xdr:spPr>
          <a:xfrm>
            <a:off x="1322249" y="762000"/>
            <a:ext cx="1193641" cy="191055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/>
        </xdr:nvSpPr>
        <xdr:spPr>
          <a:xfrm>
            <a:off x="1322249" y="953055"/>
            <a:ext cx="1193641" cy="382110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B</a:t>
            </a:r>
          </a:p>
        </xdr:txBody>
      </xdr:sp>
      <xdr:sp macro="" textlink="GroupB.concat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/>
        </xdr:nvSpPr>
        <xdr:spPr>
          <a:xfrm>
            <a:off x="1322249" y="1335165"/>
            <a:ext cx="1193641" cy="993485"/>
          </a:xfrm>
          <a:prstGeom prst="rect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fld id="{48EAD615-B99E-432B-8EC0-1D36C4212F39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پرتغال
اسپانیا
مراکش
ایران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CxnSpPr/>
        </xdr:nvCxnSpPr>
        <xdr:spPr>
          <a:xfrm>
            <a:off x="1322249" y="1335165"/>
            <a:ext cx="1193641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Isosceles Triangle 30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/>
        </xdr:nvSpPr>
        <xdr:spPr>
          <a:xfrm flipV="1">
            <a:off x="1322249" y="2328650"/>
            <a:ext cx="1193641" cy="401215"/>
          </a:xfrm>
          <a:prstGeom prst="triangle">
            <a:avLst/>
          </a:prstGeom>
          <a:solidFill>
            <a:srgbClr val="C0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 editAs="absolute">
    <xdr:from>
      <xdr:col>3</xdr:col>
      <xdr:colOff>1232257</xdr:colOff>
      <xdr:row>1</xdr:row>
      <xdr:rowOff>0</xdr:rowOff>
    </xdr:from>
    <xdr:to>
      <xdr:col>4</xdr:col>
      <xdr:colOff>985718</xdr:colOff>
      <xdr:row>1</xdr:row>
      <xdr:rowOff>1566650</xdr:rowOff>
    </xdr:to>
    <xdr:grpSp>
      <xdr:nvGrpSpPr>
        <xdr:cNvPr id="32" name="Index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pSpPr/>
      </xdr:nvGrpSpPr>
      <xdr:grpSpPr>
        <a:xfrm>
          <a:off x="2580997" y="762000"/>
          <a:ext cx="1193641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C</a:t>
            </a:r>
          </a:p>
        </xdr:txBody>
      </xdr:sp>
      <xdr:sp macro="" textlink="GroupC.concat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F54BB364-88A5-413F-B93F-D6C82719892E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فرانسه
استرالیا
پرو
دانمارک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4</xdr:col>
      <xdr:colOff>1050826</xdr:colOff>
      <xdr:row>1</xdr:row>
      <xdr:rowOff>0</xdr:rowOff>
    </xdr:from>
    <xdr:to>
      <xdr:col>7</xdr:col>
      <xdr:colOff>164207</xdr:colOff>
      <xdr:row>1</xdr:row>
      <xdr:rowOff>1566650</xdr:rowOff>
    </xdr:to>
    <xdr:grpSp>
      <xdr:nvGrpSpPr>
        <xdr:cNvPr id="37" name="Index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pSpPr/>
      </xdr:nvGrpSpPr>
      <xdr:grpSpPr>
        <a:xfrm>
          <a:off x="3839746" y="762000"/>
          <a:ext cx="1193641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200-000027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D</a:t>
            </a:r>
          </a:p>
        </xdr:txBody>
      </xdr:sp>
      <xdr:sp macro="" textlink="GroupD.concat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15DF66C6-1617-4102-A935-5868AA17EF13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آرژانتین
ایسلند
کروواسی
نیجریه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7</xdr:col>
      <xdr:colOff>229315</xdr:colOff>
      <xdr:row>1</xdr:row>
      <xdr:rowOff>0</xdr:rowOff>
    </xdr:from>
    <xdr:to>
      <xdr:col>10</xdr:col>
      <xdr:colOff>173276</xdr:colOff>
      <xdr:row>1</xdr:row>
      <xdr:rowOff>1566650</xdr:rowOff>
    </xdr:to>
    <xdr:grpSp>
      <xdr:nvGrpSpPr>
        <xdr:cNvPr id="42" name="Index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/>
      </xdr:nvGrpSpPr>
      <xdr:grpSpPr>
        <a:xfrm>
          <a:off x="5098495" y="762000"/>
          <a:ext cx="1193641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E</a:t>
            </a:r>
          </a:p>
        </xdr:txBody>
      </xdr:sp>
      <xdr:sp macro="" textlink="GroupE.concat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CC05A699-5778-4835-A389-E93F2386613E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برزیل
سوییس
کاستاریکا
صربستان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10</xdr:col>
      <xdr:colOff>238383</xdr:colOff>
      <xdr:row>1</xdr:row>
      <xdr:rowOff>0</xdr:rowOff>
    </xdr:from>
    <xdr:to>
      <xdr:col>13</xdr:col>
      <xdr:colOff>174724</xdr:colOff>
      <xdr:row>1</xdr:row>
      <xdr:rowOff>1566650</xdr:rowOff>
    </xdr:to>
    <xdr:grpSp>
      <xdr:nvGrpSpPr>
        <xdr:cNvPr id="47" name="Index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GrpSpPr/>
      </xdr:nvGrpSpPr>
      <xdr:grpSpPr>
        <a:xfrm>
          <a:off x="6357243" y="762000"/>
          <a:ext cx="1193641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F</a:t>
            </a:r>
          </a:p>
        </xdr:txBody>
      </xdr:sp>
      <xdr:sp macro="" textlink="GroupF.concat">
        <xdr:nvSpPr>
          <xdr:cNvPr id="50" name="Rectangle 49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7708B812-8AEA-4008-9187-1E6EC99956FA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آلمان
مکزیک
سوئد
کره جنوبی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13</xdr:col>
      <xdr:colOff>239832</xdr:colOff>
      <xdr:row>1</xdr:row>
      <xdr:rowOff>0</xdr:rowOff>
    </xdr:from>
    <xdr:to>
      <xdr:col>14</xdr:col>
      <xdr:colOff>846733</xdr:colOff>
      <xdr:row>1</xdr:row>
      <xdr:rowOff>1566650</xdr:rowOff>
    </xdr:to>
    <xdr:grpSp>
      <xdr:nvGrpSpPr>
        <xdr:cNvPr id="52" name="Index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/>
      </xdr:nvGrpSpPr>
      <xdr:grpSpPr>
        <a:xfrm>
          <a:off x="7615992" y="762000"/>
          <a:ext cx="1193641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G</a:t>
            </a:r>
          </a:p>
        </xdr:txBody>
      </xdr:sp>
      <xdr:sp macro="" textlink="GroupG.concat">
        <xdr:nvSpPr>
          <xdr:cNvPr id="55" name="Rectangle 54">
            <a:extLst>
              <a:ext uri="{FF2B5EF4-FFF2-40B4-BE49-F238E27FC236}">
                <a16:creationId xmlns:a16="http://schemas.microsoft.com/office/drawing/2014/main" id="{00000000-0008-0000-0200-000037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65D4B922-320A-4C39-A4A4-61E766F3B3AC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بلژیک
پاناما
تونس
انگلستان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00000000-0008-0000-0200-000038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14</xdr:col>
      <xdr:colOff>911840</xdr:colOff>
      <xdr:row>1</xdr:row>
      <xdr:rowOff>0</xdr:rowOff>
    </xdr:from>
    <xdr:to>
      <xdr:col>19</xdr:col>
      <xdr:colOff>223340</xdr:colOff>
      <xdr:row>1</xdr:row>
      <xdr:rowOff>1566650</xdr:rowOff>
    </xdr:to>
    <xdr:grpSp>
      <xdr:nvGrpSpPr>
        <xdr:cNvPr id="57" name="Index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GrpSpPr/>
      </xdr:nvGrpSpPr>
      <xdr:grpSpPr>
        <a:xfrm>
          <a:off x="8874740" y="762000"/>
          <a:ext cx="1193640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00000000-0008-0000-0200-00003A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1100" b="1"/>
              <a:t>GROUP</a:t>
            </a: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00000000-0008-0000-0200-00003B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H</a:t>
            </a:r>
          </a:p>
        </xdr:txBody>
      </xdr:sp>
      <xdr:sp macro="" textlink="GroupH.concat">
        <xdr:nvSpPr>
          <xdr:cNvPr id="60" name="Rectangle 59">
            <a:extLst>
              <a:ext uri="{FF2B5EF4-FFF2-40B4-BE49-F238E27FC236}">
                <a16:creationId xmlns:a16="http://schemas.microsoft.com/office/drawing/2014/main" id="{00000000-0008-0000-0200-00003C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fld id="{888E42C5-0A48-473A-BAB4-AFF944D58ADD}" type="TxLink">
              <a:rPr lang="en-US" altLang="ja-JP" sz="1200" b="0" i="0" u="none" strike="noStrike">
                <a:solidFill>
                  <a:schemeClr val="bg1"/>
                </a:solidFill>
                <a:latin typeface="Calibri"/>
                <a:cs typeface="Calibri"/>
              </a:rPr>
              <a:pPr algn="l"/>
              <a:t>لهستان
سنگال
کلمبیا
ژاپن</a:t>
            </a:fld>
            <a:endParaRPr lang="en-GB" sz="1400">
              <a:solidFill>
                <a:schemeClr val="bg1"/>
              </a:solidFill>
            </a:endParaRPr>
          </a:p>
        </xdr:txBody>
      </xdr: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00000000-0008-0000-0200-00003D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absolute">
    <xdr:from>
      <xdr:col>20</xdr:col>
      <xdr:colOff>6509</xdr:colOff>
      <xdr:row>1</xdr:row>
      <xdr:rowOff>0</xdr:rowOff>
    </xdr:from>
    <xdr:to>
      <xdr:col>23</xdr:col>
      <xdr:colOff>285750</xdr:colOff>
      <xdr:row>1</xdr:row>
      <xdr:rowOff>1566650</xdr:rowOff>
    </xdr:to>
    <xdr:grpSp>
      <xdr:nvGrpSpPr>
        <xdr:cNvPr id="62" name="Index9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/>
      </xdr:nvGrpSpPr>
      <xdr:grpSpPr>
        <a:xfrm>
          <a:off x="10133489" y="762000"/>
          <a:ext cx="1193641" cy="1566650"/>
          <a:chOff x="1047750" y="0"/>
          <a:chExt cx="1047750" cy="1562100"/>
        </a:xfrm>
        <a:effectLst>
          <a:outerShdw blurRad="50800" dist="38100" dir="5400000" algn="t" rotWithShape="0">
            <a:prstClr val="black">
              <a:alpha val="40000"/>
            </a:prstClr>
          </a:outerShdw>
        </a:effectLst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00000000-0008-0000-0200-00003F000000}"/>
              </a:ext>
            </a:extLst>
          </xdr:cNvPr>
          <xdr:cNvSpPr/>
        </xdr:nvSpPr>
        <xdr:spPr>
          <a:xfrm>
            <a:off x="1047750" y="0"/>
            <a:ext cx="1047750" cy="190500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en-GB" sz="1100" b="1"/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200-000040000000}"/>
              </a:ext>
            </a:extLst>
          </xdr:cNvPr>
          <xdr:cNvSpPr/>
        </xdr:nvSpPr>
        <xdr:spPr>
          <a:xfrm>
            <a:off x="1047750" y="190500"/>
            <a:ext cx="1047750" cy="381000"/>
          </a:xfrm>
          <a:prstGeom prst="rect">
            <a:avLst/>
          </a:prstGeom>
          <a:solidFill>
            <a:schemeClr val="accent5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GB" sz="2800" b="1">
                <a:solidFill>
                  <a:sysClr val="windowText" lastClr="000000"/>
                </a:solidFill>
              </a:rPr>
              <a:t>KO</a:t>
            </a:r>
          </a:p>
        </xdr:txBody>
      </xdr:sp>
      <xdr:sp macro="" textlink="Knockout.concat">
        <xdr:nvSpPr>
          <xdr:cNvPr id="65" name="Rectangle 64">
            <a:extLst>
              <a:ext uri="{FF2B5EF4-FFF2-40B4-BE49-F238E27FC236}">
                <a16:creationId xmlns:a16="http://schemas.microsoft.com/office/drawing/2014/main" id="{00000000-0008-0000-0200-000041000000}"/>
              </a:ext>
            </a:extLst>
          </xdr:cNvPr>
          <xdr:cNvSpPr/>
        </xdr:nvSpPr>
        <xdr:spPr>
          <a:xfrm>
            <a:off x="1047750" y="571500"/>
            <a:ext cx="1047750" cy="990600"/>
          </a:xfrm>
          <a:prstGeom prst="rect">
            <a:avLst/>
          </a:prstGeom>
          <a:solidFill>
            <a:schemeClr val="accent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F989EEAB-A578-42E8-945A-CC02AA757E91}" type="TxLink">
              <a:rPr lang="fa-IR" sz="11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مرحله حذفی</a:t>
            </a:fld>
            <a:endParaRPr lang="en-US" sz="1200" b="0" i="0" u="none" strike="noStrike">
              <a:solidFill>
                <a:schemeClr val="bg1"/>
              </a:solidFill>
              <a:latin typeface="+mn-lt"/>
              <a:cs typeface="Calibri"/>
            </a:endParaRPr>
          </a:p>
        </xdr:txBody>
      </xdr: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00000000-0008-0000-0200-000042000000}"/>
              </a:ext>
            </a:extLst>
          </xdr:cNvPr>
          <xdr:cNvCxnSpPr/>
        </xdr:nvCxnSpPr>
        <xdr:spPr>
          <a:xfrm>
            <a:off x="1047750" y="571500"/>
            <a:ext cx="1047750" cy="0"/>
          </a:xfrm>
          <a:prstGeom prst="line">
            <a:avLst/>
          </a:prstGeom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746760</xdr:rowOff>
    </xdr:from>
    <xdr:to>
      <xdr:col>25</xdr:col>
      <xdr:colOff>0</xdr:colOff>
      <xdr:row>3</xdr:row>
      <xdr:rowOff>38100</xdr:rowOff>
    </xdr:to>
    <xdr:sp macro="" textlink="">
      <xdr:nvSpPr>
        <xdr:cNvPr id="68" name="Rectangle 67"/>
        <xdr:cNvSpPr/>
      </xdr:nvSpPr>
      <xdr:spPr>
        <a:xfrm>
          <a:off x="53340" y="74676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</xdr:colOff>
      <xdr:row>6</xdr:row>
      <xdr:rowOff>0</xdr:rowOff>
    </xdr:from>
    <xdr:to>
      <xdr:col>9</xdr:col>
      <xdr:colOff>500062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68862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</xdr:colOff>
      <xdr:row>8</xdr:row>
      <xdr:rowOff>0</xdr:rowOff>
    </xdr:from>
    <xdr:to>
      <xdr:col>9</xdr:col>
      <xdr:colOff>500062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8862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</xdr:colOff>
      <xdr:row>10</xdr:row>
      <xdr:rowOff>0</xdr:rowOff>
    </xdr:from>
    <xdr:to>
      <xdr:col>9</xdr:col>
      <xdr:colOff>500062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8862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</xdr:colOff>
      <xdr:row>12</xdr:row>
      <xdr:rowOff>0</xdr:rowOff>
    </xdr:from>
    <xdr:to>
      <xdr:col>9</xdr:col>
      <xdr:colOff>500062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68862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</xdr:colOff>
      <xdr:row>14</xdr:row>
      <xdr:rowOff>0</xdr:rowOff>
    </xdr:from>
    <xdr:to>
      <xdr:col>9</xdr:col>
      <xdr:colOff>500062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8862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</xdr:colOff>
      <xdr:row>16</xdr:row>
      <xdr:rowOff>0</xdr:rowOff>
    </xdr:from>
    <xdr:to>
      <xdr:col>9</xdr:col>
      <xdr:colOff>500062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8862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19458</xdr:colOff>
          <xdr:row>8</xdr:row>
          <xdr:rowOff>16478</xdr:rowOff>
        </xdr:from>
        <xdr:to>
          <xdr:col>13</xdr:col>
          <xdr:colOff>476658</xdr:colOff>
          <xdr:row>9</xdr:row>
          <xdr:rowOff>29178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1st" spid="_x0000_s24697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6321833" y="3731228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10</xdr:row>
          <xdr:rowOff>19050</xdr:rowOff>
        </xdr:from>
        <xdr:to>
          <xdr:col>13</xdr:col>
          <xdr:colOff>469900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3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2nd" spid="_x0000_s24698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315075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</xdr:colOff>
          <xdr:row>12</xdr:row>
          <xdr:rowOff>20637</xdr:rowOff>
        </xdr:from>
        <xdr:to>
          <xdr:col>13</xdr:col>
          <xdr:colOff>461962</xdr:colOff>
          <xdr:row>13</xdr:row>
          <xdr:rowOff>33337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3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3rd" spid="_x0000_s24699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465887" y="4656137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</xdr:colOff>
          <xdr:row>14</xdr:row>
          <xdr:rowOff>9525</xdr:rowOff>
        </xdr:from>
        <xdr:to>
          <xdr:col>13</xdr:col>
          <xdr:colOff>479425</xdr:colOff>
          <xdr:row>15</xdr:row>
          <xdr:rowOff>22225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4th" spid="_x0000_s24700"/>
                </a:ext>
              </a:extLst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324600" y="50974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39687</xdr:colOff>
          <xdr:row>19</xdr:row>
          <xdr:rowOff>11112</xdr:rowOff>
        </xdr:from>
        <xdr:to>
          <xdr:col>5</xdr:col>
          <xdr:colOff>496887</xdr:colOff>
          <xdr:row>20</xdr:row>
          <xdr:rowOff>0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Win" spid="_x0000_s24701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3429000" y="6242050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23811</xdr:colOff>
          <xdr:row>19</xdr:row>
          <xdr:rowOff>11112</xdr:rowOff>
        </xdr:from>
        <xdr:to>
          <xdr:col>9</xdr:col>
          <xdr:colOff>481011</xdr:colOff>
          <xdr:row>20</xdr:row>
          <xdr:rowOff>0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C'!FlagSelect.RU" spid="_x0000_s24702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4849811" y="6242050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19049</xdr:colOff>
      <xdr:row>0</xdr:row>
      <xdr:rowOff>0</xdr:rowOff>
    </xdr:from>
    <xdr:to>
      <xdr:col>24</xdr:col>
      <xdr:colOff>76199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19049" y="0"/>
          <a:ext cx="9867900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23</xdr:col>
      <xdr:colOff>282575</xdr:colOff>
      <xdr:row>3</xdr:row>
      <xdr:rowOff>9525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GrpSpPr/>
      </xdr:nvGrpSpPr>
      <xdr:grpSpPr>
        <a:xfrm>
          <a:off x="63500" y="762000"/>
          <a:ext cx="11260455" cy="1967865"/>
          <a:chOff x="63500" y="762000"/>
          <a:chExt cx="9886950" cy="1962150"/>
        </a:xfrm>
      </xdr:grpSpPr>
      <xdr:grpSp>
        <xdr:nvGrpSpPr>
          <xdr:cNvPr id="21" name="Index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GrpSpPr/>
        </xdr:nvGrpSpPr>
        <xdr:grpSpPr>
          <a:xfrm>
            <a:off x="635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300-00001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A</a:t>
              </a:r>
            </a:p>
          </xdr:txBody>
        </xdr:sp>
        <xdr:sp macro="" textlink="GroupA.concat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B2B05069-AAF1-4A50-B082-4EB5C7F1A1B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روسیه
عربستان
مصر
اروگوئه</a:t>
              </a:fld>
              <a:endParaRPr lang="en-GB" sz="12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Index2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GrpSpPr/>
        </xdr:nvGrpSpPr>
        <xdr:grpSpPr>
          <a:xfrm>
            <a:off x="11684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B</a:t>
              </a:r>
            </a:p>
          </xdr:txBody>
        </xdr:sp>
        <xdr:sp macro="" textlink="GroupB.concat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48EAD615-B99E-432B-8EC0-1D36C4212F39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پرتغال
اسپانیا
مراکش
ایران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Index3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GrpSpPr/>
        </xdr:nvGrpSpPr>
        <xdr:grpSpPr>
          <a:xfrm>
            <a:off x="2273300" y="762000"/>
            <a:ext cx="1047750" cy="1962150"/>
            <a:chOff x="12573000" y="0"/>
            <a:chExt cx="1047750" cy="196215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SpPr/>
          </xdr:nvSpPr>
          <xdr:spPr>
            <a:xfrm>
              <a:off x="1257300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SpPr/>
          </xdr:nvSpPr>
          <xdr:spPr>
            <a:xfrm>
              <a:off x="12573000" y="190500"/>
              <a:ext cx="1047750" cy="381000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C</a:t>
              </a:r>
            </a:p>
          </xdr:txBody>
        </xdr:sp>
        <xdr:sp macro="" textlink="GroupC.concat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0300-000022000000}"/>
                </a:ext>
              </a:extLst>
            </xdr:cNvPr>
            <xdr:cNvSpPr/>
          </xdr:nvSpPr>
          <xdr:spPr>
            <a:xfrm>
              <a:off x="12573000" y="571500"/>
              <a:ext cx="1047750" cy="990600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F54BB364-88A5-413F-B93F-D6C82719892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فرانسه
استرالیا
پرو
دانمارک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00000000-0008-0000-0300-000023000000}"/>
                </a:ext>
              </a:extLst>
            </xdr:cNvPr>
            <xdr:cNvCxnSpPr/>
          </xdr:nvCxnSpPr>
          <xdr:spPr>
            <a:xfrm>
              <a:off x="1257300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6" name="Isosceles Triangle 35">
              <a:extLst>
                <a:ext uri="{FF2B5EF4-FFF2-40B4-BE49-F238E27FC236}">
                  <a16:creationId xmlns:a16="http://schemas.microsoft.com/office/drawing/2014/main" id="{00000000-0008-0000-0300-000024000000}"/>
                </a:ext>
              </a:extLst>
            </xdr:cNvPr>
            <xdr:cNvSpPr/>
          </xdr:nvSpPr>
          <xdr:spPr>
            <a:xfrm flipV="1">
              <a:off x="12573000" y="1562100"/>
              <a:ext cx="1047750" cy="400050"/>
            </a:xfrm>
            <a:prstGeom prst="triangle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7" name="Index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GrpSpPr/>
        </xdr:nvGrpSpPr>
        <xdr:grpSpPr>
          <a:xfrm>
            <a:off x="33782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300-00002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0300-00002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D</a:t>
              </a:r>
            </a:p>
          </xdr:txBody>
        </xdr:sp>
        <xdr:sp macro="" textlink="GroupD.concat">
          <xdr:nvSpPr>
            <xdr:cNvPr id="40" name="Rectangle 39">
              <a:extLst>
                <a:ext uri="{FF2B5EF4-FFF2-40B4-BE49-F238E27FC236}">
                  <a16:creationId xmlns:a16="http://schemas.microsoft.com/office/drawing/2014/main" id="{00000000-0008-0000-0300-00002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15DF66C6-1617-4102-A935-5868AA17EF13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آرژانتین
ایسلند
کروواسی
نیجریه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1" name="Straight Connector 40">
              <a:extLst>
                <a:ext uri="{FF2B5EF4-FFF2-40B4-BE49-F238E27FC236}">
                  <a16:creationId xmlns:a16="http://schemas.microsoft.com/office/drawing/2014/main" id="{00000000-0008-0000-0300-00002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2" name="Index5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GrpSpPr/>
        </xdr:nvGrpSpPr>
        <xdr:grpSpPr>
          <a:xfrm>
            <a:off x="4483100" y="762000"/>
            <a:ext cx="1055687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0300-00002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0300-00002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E</a:t>
              </a:r>
            </a:p>
          </xdr:txBody>
        </xdr:sp>
        <xdr:sp macro="" textlink="GroupE.concat">
          <xdr:nvSpPr>
            <xdr:cNvPr id="45" name="Rectangle 44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CC05A699-5778-4835-A389-E93F2386613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برزیل
سوییس
کاستاریکا
صربستان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6" name="Straight Connector 45">
              <a:extLst>
                <a:ext uri="{FF2B5EF4-FFF2-40B4-BE49-F238E27FC236}">
                  <a16:creationId xmlns:a16="http://schemas.microsoft.com/office/drawing/2014/main" id="{00000000-0008-0000-0300-00002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7" name="Index6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GrpSpPr/>
        </xdr:nvGrpSpPr>
        <xdr:grpSpPr>
          <a:xfrm>
            <a:off x="55880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F</a:t>
              </a:r>
            </a:p>
          </xdr:txBody>
        </xdr:sp>
        <xdr:sp macro="" textlink="GroupF.concat">
          <xdr:nvSpPr>
            <xdr:cNvPr id="50" name="Rectangle 49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7708B812-8AEA-4008-9187-1E6EC99956FA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آلمان
مکزیک
سوئد
کره جنوبی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1" name="Straight Connector 50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2" name="Index7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00000000-0008-0000-0300-000034000000}"/>
              </a:ext>
            </a:extLst>
          </xdr:cNvPr>
          <xdr:cNvGrpSpPr/>
        </xdr:nvGrpSpPr>
        <xdr:grpSpPr>
          <a:xfrm>
            <a:off x="66929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00000000-0008-0000-0300-00003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4" name="Rectangle 53">
              <a:extLst>
                <a:ext uri="{FF2B5EF4-FFF2-40B4-BE49-F238E27FC236}">
                  <a16:creationId xmlns:a16="http://schemas.microsoft.com/office/drawing/2014/main" id="{00000000-0008-0000-0300-00003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G</a:t>
              </a:r>
            </a:p>
          </xdr:txBody>
        </xdr:sp>
        <xdr:sp macro="" textlink="GroupG.concat">
          <xdr:nvSpPr>
            <xdr:cNvPr id="55" name="Rectangle 54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65D4B922-320A-4C39-A4A4-61E766F3B3A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بلژیک
پاناما
تونس
انگلستان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6" name="Straight Connector 55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" name="Index8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00000000-0008-0000-0300-000039000000}"/>
              </a:ext>
            </a:extLst>
          </xdr:cNvPr>
          <xdr:cNvGrpSpPr/>
        </xdr:nvGrpSpPr>
        <xdr:grpSpPr>
          <a:xfrm>
            <a:off x="77978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00000000-0008-0000-0300-00003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00000000-0008-0000-0300-00003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H</a:t>
              </a:r>
            </a:p>
          </xdr:txBody>
        </xdr:sp>
        <xdr:sp macro="" textlink="GroupH.concat">
          <xdr:nvSpPr>
            <xdr:cNvPr id="60" name="Rectangle 59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888E42C5-0A48-473A-BAB4-AFF944D58ADD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لهستان
سنگال
کلمبیا
ژاپن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61" name="Straight Connector 60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" name="Index9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00000000-0008-0000-0300-00003E000000}"/>
              </a:ext>
            </a:extLst>
          </xdr:cNvPr>
          <xdr:cNvGrpSpPr/>
        </xdr:nvGrpSpPr>
        <xdr:grpSpPr>
          <a:xfrm>
            <a:off x="8902700" y="762000"/>
            <a:ext cx="1047750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00000000-0008-0000-0300-00003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endParaRPr lang="en-GB" sz="1100" b="1"/>
            </a:p>
          </xdr:txBody>
        </xdr: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300-00004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KO</a:t>
              </a:r>
            </a:p>
          </xdr:txBody>
        </xdr:sp>
        <xdr:sp macro="" textlink="Knockout.concat">
          <xdr:nvSpPr>
            <xdr:cNvPr id="65" name="Rectangle 64">
              <a:extLst>
                <a:ext uri="{FF2B5EF4-FFF2-40B4-BE49-F238E27FC236}">
                  <a16:creationId xmlns:a16="http://schemas.microsoft.com/office/drawing/2014/main" id="{00000000-0008-0000-0300-00004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F2BA0161-C63D-4896-BB10-F298F6C3FE6F}" type="TxLink">
                <a:rPr lang="fa-IR" sz="1100" b="0" i="0" u="none" strike="noStrike">
                  <a:solidFill>
                    <a:schemeClr val="bg1"/>
                  </a:solidFill>
                  <a:latin typeface="Arial"/>
                  <a:cs typeface="Arial"/>
                </a:rPr>
                <a:pPr algn="ctr"/>
                <a:t>مرحله حذفی</a:t>
              </a:fld>
              <a:endParaRPr lang="en-US" sz="1200" b="0" i="0" u="none" strike="noStrike">
                <a:solidFill>
                  <a:schemeClr val="bg1"/>
                </a:solidFill>
                <a:latin typeface="+mn-lt"/>
                <a:cs typeface="Calibri"/>
              </a:endParaRP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000000-0008-0000-0300-00004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</xdr:row>
      <xdr:rowOff>0</xdr:rowOff>
    </xdr:from>
    <xdr:to>
      <xdr:col>16384</xdr:col>
      <xdr:colOff>10160</xdr:colOff>
      <xdr:row>3</xdr:row>
      <xdr:rowOff>53340</xdr:rowOff>
    </xdr:to>
    <xdr:sp macro="" textlink="">
      <xdr:nvSpPr>
        <xdr:cNvPr id="68" name="Rectangle 67"/>
        <xdr:cNvSpPr/>
      </xdr:nvSpPr>
      <xdr:spPr>
        <a:xfrm>
          <a:off x="63500" y="76200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19458</xdr:colOff>
          <xdr:row>8</xdr:row>
          <xdr:rowOff>16478</xdr:rowOff>
        </xdr:from>
        <xdr:to>
          <xdr:col>13</xdr:col>
          <xdr:colOff>476658</xdr:colOff>
          <xdr:row>9</xdr:row>
          <xdr:rowOff>29178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1st" spid="_x0000_s25721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321833" y="3731228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10</xdr:row>
          <xdr:rowOff>19050</xdr:rowOff>
        </xdr:from>
        <xdr:to>
          <xdr:col>13</xdr:col>
          <xdr:colOff>469900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2nd" spid="_x0000_s25722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315075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12</xdr:row>
          <xdr:rowOff>28575</xdr:rowOff>
        </xdr:from>
        <xdr:to>
          <xdr:col>13</xdr:col>
          <xdr:colOff>469900</xdr:colOff>
          <xdr:row>13</xdr:row>
          <xdr:rowOff>41275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3rd" spid="_x0000_s25723"/>
                </a:ext>
              </a:extLst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315075" y="4664075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</xdr:colOff>
          <xdr:row>14</xdr:row>
          <xdr:rowOff>9525</xdr:rowOff>
        </xdr:from>
        <xdr:to>
          <xdr:col>13</xdr:col>
          <xdr:colOff>479425</xdr:colOff>
          <xdr:row>15</xdr:row>
          <xdr:rowOff>22225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4th" spid="_x0000_s25724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324600" y="50974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58740</xdr:colOff>
          <xdr:row>19</xdr:row>
          <xdr:rowOff>7937</xdr:rowOff>
        </xdr:from>
        <xdr:to>
          <xdr:col>5</xdr:col>
          <xdr:colOff>515940</xdr:colOff>
          <xdr:row>20</xdr:row>
          <xdr:rowOff>2222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Win" spid="_x0000_s25725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448053" y="6238875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19</xdr:row>
          <xdr:rowOff>7938</xdr:rowOff>
        </xdr:from>
        <xdr:to>
          <xdr:col>9</xdr:col>
          <xdr:colOff>476250</xdr:colOff>
          <xdr:row>20</xdr:row>
          <xdr:rowOff>2223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4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D'!FlagSelect.RU" spid="_x0000_s25726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4845050" y="6238876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19049</xdr:colOff>
      <xdr:row>0</xdr:row>
      <xdr:rowOff>0</xdr:rowOff>
    </xdr:from>
    <xdr:to>
      <xdr:col>24</xdr:col>
      <xdr:colOff>76199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19049" y="0"/>
          <a:ext cx="9867900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23</xdr:col>
      <xdr:colOff>285750</xdr:colOff>
      <xdr:row>3</xdr:row>
      <xdr:rowOff>9525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GrpSpPr/>
      </xdr:nvGrpSpPr>
      <xdr:grpSpPr>
        <a:xfrm>
          <a:off x="63500" y="762000"/>
          <a:ext cx="11263630" cy="1967865"/>
          <a:chOff x="63500" y="762000"/>
          <a:chExt cx="9890125" cy="1962150"/>
        </a:xfrm>
      </xdr:grpSpPr>
      <xdr:grpSp>
        <xdr:nvGrpSpPr>
          <xdr:cNvPr id="21" name="Index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GrpSpPr/>
        </xdr:nvGrpSpPr>
        <xdr:grpSpPr>
          <a:xfrm>
            <a:off x="635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0400-00001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A</a:t>
              </a:r>
            </a:p>
          </xdr:txBody>
        </xdr:sp>
        <xdr:sp macro="" textlink="GroupA.concat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0400-00001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B2B05069-AAF1-4A50-B082-4EB5C7F1A1B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روسیه
عربستان
مصر
اروگوئه</a:t>
              </a:fld>
              <a:endParaRPr lang="en-GB" sz="12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400-00001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Index2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GrpSpPr/>
        </xdr:nvGrpSpPr>
        <xdr:grpSpPr>
          <a:xfrm>
            <a:off x="11684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0400-00001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0400-00001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B</a:t>
              </a:r>
            </a:p>
          </xdr:txBody>
        </xdr:sp>
        <xdr:sp macro="" textlink="GroupB.concat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48EAD615-B99E-432B-8EC0-1D36C4212F39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پرتغال
اسپانیا
مراکش
ایران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Index3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GrpSpPr/>
        </xdr:nvGrpSpPr>
        <xdr:grpSpPr>
          <a:xfrm>
            <a:off x="22733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0400-00002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0400-00002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C</a:t>
              </a:r>
            </a:p>
          </xdr:txBody>
        </xdr:sp>
        <xdr:sp macro="" textlink="GroupC.concat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0400-00002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F54BB364-88A5-413F-B93F-D6C82719892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فرانسه
استرالیا
پرو
دانمارک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00000000-0008-0000-0400-00002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" name="Index4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GrpSpPr/>
        </xdr:nvGrpSpPr>
        <xdr:grpSpPr>
          <a:xfrm>
            <a:off x="3378200" y="762000"/>
            <a:ext cx="1050925" cy="1962150"/>
            <a:chOff x="13620750" y="0"/>
            <a:chExt cx="1047750" cy="196215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0400-000025000000}"/>
                </a:ext>
              </a:extLst>
            </xdr:cNvPr>
            <xdr:cNvSpPr/>
          </xdr:nvSpPr>
          <xdr:spPr>
            <a:xfrm>
              <a:off x="13620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400-000026000000}"/>
                </a:ext>
              </a:extLst>
            </xdr:cNvPr>
            <xdr:cNvSpPr/>
          </xdr:nvSpPr>
          <xdr:spPr>
            <a:xfrm>
              <a:off x="13620750" y="190500"/>
              <a:ext cx="1047750" cy="381000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D</a:t>
              </a:r>
            </a:p>
          </xdr:txBody>
        </xdr:sp>
        <xdr:sp macro="" textlink="GroupD.concat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0400-000027000000}"/>
                </a:ext>
              </a:extLst>
            </xdr:cNvPr>
            <xdr:cNvSpPr/>
          </xdr:nvSpPr>
          <xdr:spPr>
            <a:xfrm>
              <a:off x="13620750" y="571500"/>
              <a:ext cx="1047750" cy="990600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15DF66C6-1617-4102-A935-5868AA17EF13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آرژانتین
ایسلند
کروواسی
نیجریه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00000000-0008-0000-0400-000028000000}"/>
                </a:ext>
              </a:extLst>
            </xdr:cNvPr>
            <xdr:cNvCxnSpPr/>
          </xdr:nvCxnSpPr>
          <xdr:spPr>
            <a:xfrm>
              <a:off x="13620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" name="Isosceles Triangle 40">
              <a:extLst>
                <a:ext uri="{FF2B5EF4-FFF2-40B4-BE49-F238E27FC236}">
                  <a16:creationId xmlns:a16="http://schemas.microsoft.com/office/drawing/2014/main" id="{00000000-0008-0000-0400-000029000000}"/>
                </a:ext>
              </a:extLst>
            </xdr:cNvPr>
            <xdr:cNvSpPr/>
          </xdr:nvSpPr>
          <xdr:spPr>
            <a:xfrm flipV="1">
              <a:off x="13620750" y="1562100"/>
              <a:ext cx="1047750" cy="400050"/>
            </a:xfrm>
            <a:prstGeom prst="triangle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2" name="Index5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GrpSpPr/>
        </xdr:nvGrpSpPr>
        <xdr:grpSpPr>
          <a:xfrm>
            <a:off x="44831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0400-00002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0400-00002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E</a:t>
              </a:r>
            </a:p>
          </xdr:txBody>
        </xdr:sp>
        <xdr:sp macro="" textlink="GroupE.concat">
          <xdr:nvSpPr>
            <xdr:cNvPr id="45" name="Rectangle 44">
              <a:extLst>
                <a:ext uri="{FF2B5EF4-FFF2-40B4-BE49-F238E27FC236}">
                  <a16:creationId xmlns:a16="http://schemas.microsoft.com/office/drawing/2014/main" id="{00000000-0008-0000-0400-00002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CC05A699-5778-4835-A389-E93F2386613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برزیل
سوییس
کاستاریکا
صربستان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6" name="Straight Connector 45">
              <a:extLst>
                <a:ext uri="{FF2B5EF4-FFF2-40B4-BE49-F238E27FC236}">
                  <a16:creationId xmlns:a16="http://schemas.microsoft.com/office/drawing/2014/main" id="{00000000-0008-0000-0400-00002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7" name="Index6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GrpSpPr/>
        </xdr:nvGrpSpPr>
        <xdr:grpSpPr>
          <a:xfrm>
            <a:off x="55880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0400-00003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0400-00003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F</a:t>
              </a:r>
            </a:p>
          </xdr:txBody>
        </xdr:sp>
        <xdr:sp macro="" textlink="GroupF.concat">
          <xdr:nvSpPr>
            <xdr:cNvPr id="50" name="Rectangle 49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7708B812-8AEA-4008-9187-1E6EC99956FA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آلمان
مکزیک
سوئد
کره جنوبی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1" name="Straight Connector 50">
              <a:extLst>
                <a:ext uri="{FF2B5EF4-FFF2-40B4-BE49-F238E27FC236}">
                  <a16:creationId xmlns:a16="http://schemas.microsoft.com/office/drawing/2014/main" id="{00000000-0008-0000-0400-00003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2" name="Index7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00000000-0008-0000-0400-000034000000}"/>
              </a:ext>
            </a:extLst>
          </xdr:cNvPr>
          <xdr:cNvGrpSpPr/>
        </xdr:nvGrpSpPr>
        <xdr:grpSpPr>
          <a:xfrm>
            <a:off x="66929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00000000-0008-0000-0400-00003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4" name="Rectangle 53">
              <a:extLst>
                <a:ext uri="{FF2B5EF4-FFF2-40B4-BE49-F238E27FC236}">
                  <a16:creationId xmlns:a16="http://schemas.microsoft.com/office/drawing/2014/main" id="{00000000-0008-0000-0400-00003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G</a:t>
              </a:r>
            </a:p>
          </xdr:txBody>
        </xdr:sp>
        <xdr:sp macro="" textlink="GroupG.concat">
          <xdr:nvSpPr>
            <xdr:cNvPr id="55" name="Rectangle 54">
              <a:extLst>
                <a:ext uri="{FF2B5EF4-FFF2-40B4-BE49-F238E27FC236}">
                  <a16:creationId xmlns:a16="http://schemas.microsoft.com/office/drawing/2014/main" id="{00000000-0008-0000-0400-00003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65D4B922-320A-4C39-A4A4-61E766F3B3A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بلژیک
پاناما
تونس
انگلستان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6" name="Straight Connector 55">
              <a:extLst>
                <a:ext uri="{FF2B5EF4-FFF2-40B4-BE49-F238E27FC236}">
                  <a16:creationId xmlns:a16="http://schemas.microsoft.com/office/drawing/2014/main" id="{00000000-0008-0000-0400-00003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" name="Index8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00000000-0008-0000-0400-000039000000}"/>
              </a:ext>
            </a:extLst>
          </xdr:cNvPr>
          <xdr:cNvGrpSpPr/>
        </xdr:nvGrpSpPr>
        <xdr:grpSpPr>
          <a:xfrm>
            <a:off x="77978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00000000-0008-0000-0400-00003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H</a:t>
              </a:r>
            </a:p>
          </xdr:txBody>
        </xdr:sp>
        <xdr:sp macro="" textlink="GroupH.concat">
          <xdr:nvSpPr>
            <xdr:cNvPr id="60" name="Rectangle 59">
              <a:extLst>
                <a:ext uri="{FF2B5EF4-FFF2-40B4-BE49-F238E27FC236}">
                  <a16:creationId xmlns:a16="http://schemas.microsoft.com/office/drawing/2014/main" id="{00000000-0008-0000-0400-00003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888E42C5-0A48-473A-BAB4-AFF944D58ADD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لهستان
سنگال
کلمبیا
ژاپن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61" name="Straight Connector 60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" name="Index9">
            <a:hlinkClick xmlns:r="http://schemas.openxmlformats.org/officeDocument/2006/relationships" r:id="rId20"/>
            <a:extLst>
              <a:ext uri="{FF2B5EF4-FFF2-40B4-BE49-F238E27FC236}">
                <a16:creationId xmlns:a16="http://schemas.microsoft.com/office/drawing/2014/main" id="{00000000-0008-0000-0400-00003E000000}"/>
              </a:ext>
            </a:extLst>
          </xdr:cNvPr>
          <xdr:cNvGrpSpPr/>
        </xdr:nvGrpSpPr>
        <xdr:grpSpPr>
          <a:xfrm>
            <a:off x="89027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00000000-0008-0000-0400-00003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endParaRPr lang="en-GB" sz="1100" b="1"/>
            </a:p>
          </xdr:txBody>
        </xdr: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400-00004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KO</a:t>
              </a:r>
            </a:p>
          </xdr:txBody>
        </xdr:sp>
        <xdr:sp macro="" textlink="Knockout.concat">
          <xdr:nvSpPr>
            <xdr:cNvPr id="65" name="Rectangle 64">
              <a:extLst>
                <a:ext uri="{FF2B5EF4-FFF2-40B4-BE49-F238E27FC236}">
                  <a16:creationId xmlns:a16="http://schemas.microsoft.com/office/drawing/2014/main" id="{00000000-0008-0000-0400-00004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AFF1683E-EAF2-4491-B9AF-EE37858A10F3}" type="TxLink">
                <a:rPr lang="fa-IR" sz="1100" b="0" i="0" u="none" strike="noStrike">
                  <a:solidFill>
                    <a:schemeClr val="bg1"/>
                  </a:solidFill>
                  <a:latin typeface="Arial"/>
                  <a:cs typeface="Arial"/>
                </a:rPr>
                <a:pPr algn="ctr"/>
                <a:t>مرحله حذفی</a:t>
              </a:fld>
              <a:endParaRPr lang="en-US" sz="1200" b="0" i="0" u="none" strike="noStrike">
                <a:solidFill>
                  <a:schemeClr val="bg1"/>
                </a:solidFill>
                <a:latin typeface="+mn-lt"/>
                <a:cs typeface="Calibri"/>
              </a:endParaRP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000000-0008-0000-0400-00004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731520</xdr:rowOff>
    </xdr:from>
    <xdr:to>
      <xdr:col>24</xdr:col>
      <xdr:colOff>38100</xdr:colOff>
      <xdr:row>3</xdr:row>
      <xdr:rowOff>22860</xdr:rowOff>
    </xdr:to>
    <xdr:sp macro="" textlink="">
      <xdr:nvSpPr>
        <xdr:cNvPr id="68" name="Rectangle 67"/>
        <xdr:cNvSpPr/>
      </xdr:nvSpPr>
      <xdr:spPr>
        <a:xfrm>
          <a:off x="7620" y="73152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19458</xdr:colOff>
          <xdr:row>8</xdr:row>
          <xdr:rowOff>16478</xdr:rowOff>
        </xdr:from>
        <xdr:to>
          <xdr:col>13</xdr:col>
          <xdr:colOff>476658</xdr:colOff>
          <xdr:row>9</xdr:row>
          <xdr:rowOff>29178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1st" spid="_x0000_s26745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321833" y="3731228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10</xdr:row>
          <xdr:rowOff>19050</xdr:rowOff>
        </xdr:from>
        <xdr:to>
          <xdr:col>13</xdr:col>
          <xdr:colOff>469900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2nd" spid="_x0000_s26746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315075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12</xdr:row>
          <xdr:rowOff>28575</xdr:rowOff>
        </xdr:from>
        <xdr:to>
          <xdr:col>13</xdr:col>
          <xdr:colOff>469900</xdr:colOff>
          <xdr:row>13</xdr:row>
          <xdr:rowOff>41275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3rd" spid="_x0000_s26747"/>
                </a:ext>
              </a:extLst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315075" y="4664075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</xdr:colOff>
          <xdr:row>14</xdr:row>
          <xdr:rowOff>9525</xdr:rowOff>
        </xdr:from>
        <xdr:to>
          <xdr:col>13</xdr:col>
          <xdr:colOff>479425</xdr:colOff>
          <xdr:row>15</xdr:row>
          <xdr:rowOff>22225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4th" spid="_x0000_s26748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324600" y="50974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55563</xdr:colOff>
          <xdr:row>19</xdr:row>
          <xdr:rowOff>7938</xdr:rowOff>
        </xdr:from>
        <xdr:to>
          <xdr:col>5</xdr:col>
          <xdr:colOff>512763</xdr:colOff>
          <xdr:row>20</xdr:row>
          <xdr:rowOff>9529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Win" spid="_x0000_s26749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444876" y="6238876"/>
              <a:ext cx="457200" cy="32702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7938</xdr:rowOff>
        </xdr:from>
        <xdr:to>
          <xdr:col>9</xdr:col>
          <xdr:colOff>457200</xdr:colOff>
          <xdr:row>20</xdr:row>
          <xdr:rowOff>9529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E'!FlagSelect.RU" spid="_x0000_s26750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4829175" y="6256338"/>
              <a:ext cx="457200" cy="325441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19049</xdr:colOff>
      <xdr:row>0</xdr:row>
      <xdr:rowOff>0</xdr:rowOff>
    </xdr:from>
    <xdr:to>
      <xdr:col>24</xdr:col>
      <xdr:colOff>76199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9049" y="0"/>
          <a:ext cx="9867900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23</xdr:col>
      <xdr:colOff>285750</xdr:colOff>
      <xdr:row>3</xdr:row>
      <xdr:rowOff>9525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GrpSpPr/>
      </xdr:nvGrpSpPr>
      <xdr:grpSpPr>
        <a:xfrm>
          <a:off x="63500" y="762000"/>
          <a:ext cx="11263630" cy="1967865"/>
          <a:chOff x="63500" y="762000"/>
          <a:chExt cx="9890125" cy="1962150"/>
        </a:xfrm>
      </xdr:grpSpPr>
      <xdr:grpSp>
        <xdr:nvGrpSpPr>
          <xdr:cNvPr id="21" name="Index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pSpPr/>
        </xdr:nvGrpSpPr>
        <xdr:grpSpPr>
          <a:xfrm>
            <a:off x="635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A</a:t>
              </a:r>
            </a:p>
          </xdr:txBody>
        </xdr:sp>
        <xdr:sp macro="" textlink="GroupA.concat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0500-00001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B2B05069-AAF1-4A50-B082-4EB5C7F1A1B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روسیه
عربستان
مصر
اروگوئه</a:t>
              </a:fld>
              <a:endParaRPr lang="en-GB" sz="12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500-00001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Index2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GrpSpPr/>
        </xdr:nvGrpSpPr>
        <xdr:grpSpPr>
          <a:xfrm>
            <a:off x="11684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0500-00001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0500-00001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B</a:t>
              </a:r>
            </a:p>
          </xdr:txBody>
        </xdr:sp>
        <xdr:sp macro="" textlink="GroupB.concat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48EAD615-B99E-432B-8EC0-1D36C4212F39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پرتغال
اسپانیا
مراکش
ایران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500-00001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Index3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GrpSpPr/>
        </xdr:nvGrpSpPr>
        <xdr:grpSpPr>
          <a:xfrm>
            <a:off x="22733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C</a:t>
              </a:r>
            </a:p>
          </xdr:txBody>
        </xdr:sp>
        <xdr:sp macro="" textlink="GroupC.concat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0500-00002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F54BB364-88A5-413F-B93F-D6C82719892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فرانسه
استرالیا
پرو
دانمارک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" name="Index4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GrpSpPr/>
        </xdr:nvGrpSpPr>
        <xdr:grpSpPr>
          <a:xfrm>
            <a:off x="33782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D</a:t>
              </a:r>
            </a:p>
          </xdr:txBody>
        </xdr:sp>
        <xdr:sp macro="" textlink="GroupD.concat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0500-00002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15DF66C6-1617-4102-A935-5868AA17EF13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آرژانتین
ایسلند
کروواسی
نیجریه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00000000-0008-0000-0500-00002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" name="Index5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GrpSpPr/>
        </xdr:nvGrpSpPr>
        <xdr:grpSpPr>
          <a:xfrm>
            <a:off x="4483100" y="762000"/>
            <a:ext cx="1050925" cy="1962150"/>
            <a:chOff x="14668500" y="0"/>
            <a:chExt cx="1047750" cy="196215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0500-00002A000000}"/>
                </a:ext>
              </a:extLst>
            </xdr:cNvPr>
            <xdr:cNvSpPr/>
          </xdr:nvSpPr>
          <xdr:spPr>
            <a:xfrm>
              <a:off x="1466850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0500-00002B000000}"/>
                </a:ext>
              </a:extLst>
            </xdr:cNvPr>
            <xdr:cNvSpPr/>
          </xdr:nvSpPr>
          <xdr:spPr>
            <a:xfrm>
              <a:off x="14668500" y="190500"/>
              <a:ext cx="1047750" cy="381000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E</a:t>
              </a:r>
            </a:p>
          </xdr:txBody>
        </xdr:sp>
        <xdr:sp macro="" textlink="GroupE.concat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0500-00002C000000}"/>
                </a:ext>
              </a:extLst>
            </xdr:cNvPr>
            <xdr:cNvSpPr/>
          </xdr:nvSpPr>
          <xdr:spPr>
            <a:xfrm>
              <a:off x="14668500" y="571500"/>
              <a:ext cx="1047750" cy="990600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CC05A699-5778-4835-A389-E93F2386613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برزیل
سوییس
کاستاریکا
صربستان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00000000-0008-0000-0500-00002D000000}"/>
                </a:ext>
              </a:extLst>
            </xdr:cNvPr>
            <xdr:cNvCxnSpPr/>
          </xdr:nvCxnSpPr>
          <xdr:spPr>
            <a:xfrm>
              <a:off x="1466850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6" name="Isosceles Triangle 45">
              <a:extLst>
                <a:ext uri="{FF2B5EF4-FFF2-40B4-BE49-F238E27FC236}">
                  <a16:creationId xmlns:a16="http://schemas.microsoft.com/office/drawing/2014/main" id="{00000000-0008-0000-0500-00002E000000}"/>
                </a:ext>
              </a:extLst>
            </xdr:cNvPr>
            <xdr:cNvSpPr/>
          </xdr:nvSpPr>
          <xdr:spPr>
            <a:xfrm flipV="1">
              <a:off x="14668500" y="1562100"/>
              <a:ext cx="1047750" cy="400050"/>
            </a:xfrm>
            <a:prstGeom prst="triangle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7" name="Index6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GrpSpPr/>
        </xdr:nvGrpSpPr>
        <xdr:grpSpPr>
          <a:xfrm>
            <a:off x="55880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0500-00003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0500-00003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F</a:t>
              </a:r>
            </a:p>
          </xdr:txBody>
        </xdr:sp>
        <xdr:sp macro="" textlink="GroupF.concat">
          <xdr:nvSpPr>
            <xdr:cNvPr id="50" name="Rectangle 49">
              <a:extLst>
                <a:ext uri="{FF2B5EF4-FFF2-40B4-BE49-F238E27FC236}">
                  <a16:creationId xmlns:a16="http://schemas.microsoft.com/office/drawing/2014/main" id="{00000000-0008-0000-0500-00003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7708B812-8AEA-4008-9187-1E6EC99956FA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آلمان
مکزیک
سوئد
کره جنوبی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1" name="Straight Connector 50">
              <a:extLst>
                <a:ext uri="{FF2B5EF4-FFF2-40B4-BE49-F238E27FC236}">
                  <a16:creationId xmlns:a16="http://schemas.microsoft.com/office/drawing/2014/main" id="{00000000-0008-0000-0500-00003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2" name="Index7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00000000-0008-0000-0500-000034000000}"/>
              </a:ext>
            </a:extLst>
          </xdr:cNvPr>
          <xdr:cNvGrpSpPr/>
        </xdr:nvGrpSpPr>
        <xdr:grpSpPr>
          <a:xfrm>
            <a:off x="66929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4" name="Rectangle 53">
              <a:extLst>
                <a:ext uri="{FF2B5EF4-FFF2-40B4-BE49-F238E27FC236}">
                  <a16:creationId xmlns:a16="http://schemas.microsoft.com/office/drawing/2014/main" id="{00000000-0008-0000-0500-00003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G</a:t>
              </a:r>
            </a:p>
          </xdr:txBody>
        </xdr:sp>
        <xdr:sp macro="" textlink="GroupG.concat">
          <xdr:nvSpPr>
            <xdr:cNvPr id="55" name="Rectangle 54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65D4B922-320A-4C39-A4A4-61E766F3B3A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بلژیک
پاناما
تونس
انگلستان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6" name="Straight Connector 55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" name="Index8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00000000-0008-0000-0500-000039000000}"/>
              </a:ext>
            </a:extLst>
          </xdr:cNvPr>
          <xdr:cNvGrpSpPr/>
        </xdr:nvGrpSpPr>
        <xdr:grpSpPr>
          <a:xfrm>
            <a:off x="77978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00000000-0008-0000-0500-00003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00000000-0008-0000-0500-00003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H</a:t>
              </a:r>
            </a:p>
          </xdr:txBody>
        </xdr:sp>
        <xdr:sp macro="" textlink="GroupH.concat">
          <xdr:nvSpPr>
            <xdr:cNvPr id="60" name="Rectangle 59">
              <a:extLst>
                <a:ext uri="{FF2B5EF4-FFF2-40B4-BE49-F238E27FC236}">
                  <a16:creationId xmlns:a16="http://schemas.microsoft.com/office/drawing/2014/main" id="{00000000-0008-0000-0500-00003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888E42C5-0A48-473A-BAB4-AFF944D58ADD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لهستان
سنگال
کلمبیا
ژاپن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61" name="Straight Connector 60">
              <a:extLst>
                <a:ext uri="{FF2B5EF4-FFF2-40B4-BE49-F238E27FC236}">
                  <a16:creationId xmlns:a16="http://schemas.microsoft.com/office/drawing/2014/main" id="{00000000-0008-0000-0500-00003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" name="Index9">
            <a:hlinkClick xmlns:r="http://schemas.openxmlformats.org/officeDocument/2006/relationships" r:id="rId20"/>
            <a:extLst>
              <a:ext uri="{FF2B5EF4-FFF2-40B4-BE49-F238E27FC236}">
                <a16:creationId xmlns:a16="http://schemas.microsoft.com/office/drawing/2014/main" id="{00000000-0008-0000-0500-00003E000000}"/>
              </a:ext>
            </a:extLst>
          </xdr:cNvPr>
          <xdr:cNvGrpSpPr/>
        </xdr:nvGrpSpPr>
        <xdr:grpSpPr>
          <a:xfrm>
            <a:off x="89027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00000000-0008-0000-0500-00003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endParaRPr lang="en-GB" sz="1100" b="1"/>
            </a:p>
          </xdr:txBody>
        </xdr: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500-00004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KO</a:t>
              </a:r>
            </a:p>
          </xdr:txBody>
        </xdr:sp>
        <xdr:sp macro="" textlink="Knockout.concat">
          <xdr:nvSpPr>
            <xdr:cNvPr id="65" name="Rectangle 64">
              <a:extLst>
                <a:ext uri="{FF2B5EF4-FFF2-40B4-BE49-F238E27FC236}">
                  <a16:creationId xmlns:a16="http://schemas.microsoft.com/office/drawing/2014/main" id="{00000000-0008-0000-0500-00004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23F47566-1772-42C9-B007-58559F2A6734}" type="TxLink">
                <a:rPr lang="fa-IR" sz="1100" b="0" i="0" u="none" strike="noStrike">
                  <a:solidFill>
                    <a:schemeClr val="bg1"/>
                  </a:solidFill>
                  <a:latin typeface="Arial"/>
                  <a:cs typeface="Arial"/>
                </a:rPr>
                <a:pPr algn="ctr"/>
                <a:t>مرحله حذفی</a:t>
              </a:fld>
              <a:endParaRPr lang="en-US" sz="1200" b="0" i="0" u="none" strike="noStrike">
                <a:solidFill>
                  <a:schemeClr val="bg1"/>
                </a:solidFill>
                <a:latin typeface="+mn-lt"/>
                <a:cs typeface="Calibri"/>
              </a:endParaRP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000000-0008-0000-0500-00004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739140</xdr:rowOff>
    </xdr:from>
    <xdr:to>
      <xdr:col>24</xdr:col>
      <xdr:colOff>30480</xdr:colOff>
      <xdr:row>3</xdr:row>
      <xdr:rowOff>30480</xdr:rowOff>
    </xdr:to>
    <xdr:sp macro="" textlink="">
      <xdr:nvSpPr>
        <xdr:cNvPr id="68" name="Rectangle 67"/>
        <xdr:cNvSpPr/>
      </xdr:nvSpPr>
      <xdr:spPr>
        <a:xfrm>
          <a:off x="0" y="73914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19458</xdr:colOff>
          <xdr:row>8</xdr:row>
          <xdr:rowOff>8540</xdr:rowOff>
        </xdr:from>
        <xdr:to>
          <xdr:col>13</xdr:col>
          <xdr:colOff>476658</xdr:colOff>
          <xdr:row>9</xdr:row>
          <xdr:rowOff>21240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1st" spid="_x0000_s27769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321833" y="3723290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10</xdr:row>
          <xdr:rowOff>19050</xdr:rowOff>
        </xdr:from>
        <xdr:to>
          <xdr:col>13</xdr:col>
          <xdr:colOff>469900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2nd" spid="_x0000_s27770"/>
                </a:ext>
              </a:extLst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315075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12</xdr:row>
          <xdr:rowOff>20637</xdr:rowOff>
        </xdr:from>
        <xdr:to>
          <xdr:col>13</xdr:col>
          <xdr:colOff>469900</xdr:colOff>
          <xdr:row>13</xdr:row>
          <xdr:rowOff>33337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3rd" spid="_x0000_s27771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315075" y="4656137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</xdr:colOff>
          <xdr:row>14</xdr:row>
          <xdr:rowOff>9525</xdr:rowOff>
        </xdr:from>
        <xdr:to>
          <xdr:col>13</xdr:col>
          <xdr:colOff>471487</xdr:colOff>
          <xdr:row>15</xdr:row>
          <xdr:rowOff>22225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4th" spid="_x0000_s27772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316662" y="5097463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55561</xdr:colOff>
          <xdr:row>19</xdr:row>
          <xdr:rowOff>14286</xdr:rowOff>
        </xdr:from>
        <xdr:to>
          <xdr:col>5</xdr:col>
          <xdr:colOff>512761</xdr:colOff>
          <xdr:row>20</xdr:row>
          <xdr:rowOff>3174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Win" spid="_x0000_s27773"/>
                </a:ext>
              </a:extLst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3444874" y="6245224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15873</xdr:colOff>
          <xdr:row>19</xdr:row>
          <xdr:rowOff>14286</xdr:rowOff>
        </xdr:from>
        <xdr:to>
          <xdr:col>9</xdr:col>
          <xdr:colOff>473073</xdr:colOff>
          <xdr:row>20</xdr:row>
          <xdr:rowOff>3174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F'!FlagSelect.RU" spid="_x0000_s27774"/>
                </a:ext>
              </a:extLst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4841873" y="6245224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19049</xdr:colOff>
      <xdr:row>0</xdr:row>
      <xdr:rowOff>0</xdr:rowOff>
    </xdr:from>
    <xdr:to>
      <xdr:col>24</xdr:col>
      <xdr:colOff>76199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19049" y="0"/>
          <a:ext cx="9867900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23</xdr:col>
      <xdr:colOff>285750</xdr:colOff>
      <xdr:row>3</xdr:row>
      <xdr:rowOff>9525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GrpSpPr/>
      </xdr:nvGrpSpPr>
      <xdr:grpSpPr>
        <a:xfrm>
          <a:off x="63500" y="762000"/>
          <a:ext cx="11263630" cy="1967865"/>
          <a:chOff x="63500" y="762000"/>
          <a:chExt cx="9890125" cy="1962150"/>
        </a:xfrm>
      </xdr:grpSpPr>
      <xdr:grpSp>
        <xdr:nvGrpSpPr>
          <xdr:cNvPr id="21" name="Index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GrpSpPr/>
        </xdr:nvGrpSpPr>
        <xdr:grpSpPr>
          <a:xfrm>
            <a:off x="635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600-00001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A</a:t>
              </a:r>
            </a:p>
          </xdr:txBody>
        </xdr:sp>
        <xdr:sp macro="" textlink="GroupA.concat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0600-00001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B2B05069-AAF1-4A50-B082-4EB5C7F1A1B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روسیه
عربستان
مصر
اروگوئه</a:t>
              </a:fld>
              <a:endParaRPr lang="en-GB" sz="12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Index2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GrpSpPr/>
        </xdr:nvGrpSpPr>
        <xdr:grpSpPr>
          <a:xfrm>
            <a:off x="11684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0600-00001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0600-00001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B</a:t>
              </a:r>
            </a:p>
          </xdr:txBody>
        </xdr:sp>
        <xdr:sp macro="" textlink="GroupB.concat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48EAD615-B99E-432B-8EC0-1D36C4212F39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پرتغال
اسپانیا
مراکش
ایران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600-00001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Index3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GrpSpPr/>
        </xdr:nvGrpSpPr>
        <xdr:grpSpPr>
          <a:xfrm>
            <a:off x="22733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C</a:t>
              </a:r>
            </a:p>
          </xdr:txBody>
        </xdr:sp>
        <xdr:sp macro="" textlink="GroupC.concat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0600-00002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F54BB364-88A5-413F-B93F-D6C82719892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فرانسه
استرالیا
پرو
دانمارک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" name="Index4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00000000-0008-0000-0600-000024000000}"/>
              </a:ext>
            </a:extLst>
          </xdr:cNvPr>
          <xdr:cNvGrpSpPr/>
        </xdr:nvGrpSpPr>
        <xdr:grpSpPr>
          <a:xfrm>
            <a:off x="33782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0600-00002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600-00002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D</a:t>
              </a:r>
            </a:p>
          </xdr:txBody>
        </xdr:sp>
        <xdr:sp macro="" textlink="GroupD.concat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0600-00002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15DF66C6-1617-4102-A935-5868AA17EF13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آرژانتین
ایسلند
کروواسی
نیجریه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00000000-0008-0000-0600-00002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" name="Index5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GrpSpPr/>
        </xdr:nvGrpSpPr>
        <xdr:grpSpPr>
          <a:xfrm>
            <a:off x="44831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0600-00002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0600-00002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E</a:t>
              </a:r>
            </a:p>
          </xdr:txBody>
        </xdr:sp>
        <xdr:sp macro="" textlink="GroupE.concat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0600-00002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CC05A699-5778-4835-A389-E93F2386613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برزیل
سوییس
کاستاریکا
صربستان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00000000-0008-0000-0600-00002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6" name="Index6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GrpSpPr/>
        </xdr:nvGrpSpPr>
        <xdr:grpSpPr>
          <a:xfrm>
            <a:off x="5588000" y="762000"/>
            <a:ext cx="1050925" cy="1962150"/>
            <a:chOff x="15716250" y="0"/>
            <a:chExt cx="1047750" cy="196215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0600-00002F000000}"/>
                </a:ext>
              </a:extLst>
            </xdr:cNvPr>
            <xdr:cNvSpPr/>
          </xdr:nvSpPr>
          <xdr:spPr>
            <a:xfrm>
              <a:off x="157162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0600-000030000000}"/>
                </a:ext>
              </a:extLst>
            </xdr:cNvPr>
            <xdr:cNvSpPr/>
          </xdr:nvSpPr>
          <xdr:spPr>
            <a:xfrm>
              <a:off x="15716250" y="190500"/>
              <a:ext cx="1047750" cy="381000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F</a:t>
              </a:r>
            </a:p>
          </xdr:txBody>
        </xdr:sp>
        <xdr:sp macro="" textlink="GroupF.concat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0600-000031000000}"/>
                </a:ext>
              </a:extLst>
            </xdr:cNvPr>
            <xdr:cNvSpPr/>
          </xdr:nvSpPr>
          <xdr:spPr>
            <a:xfrm>
              <a:off x="15716250" y="571500"/>
              <a:ext cx="1047750" cy="990600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7708B812-8AEA-4008-9187-1E6EC99956FA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آلمان
مکزیک
سوئد
کره جنوبی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0" name="Straight Connector 49">
              <a:extLst>
                <a:ext uri="{FF2B5EF4-FFF2-40B4-BE49-F238E27FC236}">
                  <a16:creationId xmlns:a16="http://schemas.microsoft.com/office/drawing/2014/main" id="{00000000-0008-0000-0600-000032000000}"/>
                </a:ext>
              </a:extLst>
            </xdr:cNvPr>
            <xdr:cNvCxnSpPr/>
          </xdr:nvCxnSpPr>
          <xdr:spPr>
            <a:xfrm>
              <a:off x="157162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" name="Isosceles Triangle 50">
              <a:extLst>
                <a:ext uri="{FF2B5EF4-FFF2-40B4-BE49-F238E27FC236}">
                  <a16:creationId xmlns:a16="http://schemas.microsoft.com/office/drawing/2014/main" id="{00000000-0008-0000-0600-000033000000}"/>
                </a:ext>
              </a:extLst>
            </xdr:cNvPr>
            <xdr:cNvSpPr/>
          </xdr:nvSpPr>
          <xdr:spPr>
            <a:xfrm flipV="1">
              <a:off x="15716250" y="1562100"/>
              <a:ext cx="1047750" cy="400050"/>
            </a:xfrm>
            <a:prstGeom prst="triangle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2" name="Index7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00000000-0008-0000-0600-000034000000}"/>
              </a:ext>
            </a:extLst>
          </xdr:cNvPr>
          <xdr:cNvGrpSpPr/>
        </xdr:nvGrpSpPr>
        <xdr:grpSpPr>
          <a:xfrm>
            <a:off x="66929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00000000-0008-0000-0600-00003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4" name="Rectangle 53">
              <a:extLst>
                <a:ext uri="{FF2B5EF4-FFF2-40B4-BE49-F238E27FC236}">
                  <a16:creationId xmlns:a16="http://schemas.microsoft.com/office/drawing/2014/main" id="{00000000-0008-0000-0600-00003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G</a:t>
              </a:r>
            </a:p>
          </xdr:txBody>
        </xdr:sp>
        <xdr:sp macro="" textlink="GroupG.concat">
          <xdr:nvSpPr>
            <xdr:cNvPr id="55" name="Rectangle 54">
              <a:extLst>
                <a:ext uri="{FF2B5EF4-FFF2-40B4-BE49-F238E27FC236}">
                  <a16:creationId xmlns:a16="http://schemas.microsoft.com/office/drawing/2014/main" id="{00000000-0008-0000-0600-00003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65D4B922-320A-4C39-A4A4-61E766F3B3A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بلژیک
پاناما
تونس
انگلستان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6" name="Straight Connector 55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" name="Index8">
            <a:hlinkClick xmlns:r="http://schemas.openxmlformats.org/officeDocument/2006/relationships" r:id="rId20"/>
            <a:extLst>
              <a:ext uri="{FF2B5EF4-FFF2-40B4-BE49-F238E27FC236}">
                <a16:creationId xmlns:a16="http://schemas.microsoft.com/office/drawing/2014/main" id="{00000000-0008-0000-0600-000039000000}"/>
              </a:ext>
            </a:extLst>
          </xdr:cNvPr>
          <xdr:cNvGrpSpPr/>
        </xdr:nvGrpSpPr>
        <xdr:grpSpPr>
          <a:xfrm>
            <a:off x="77978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00000000-0008-0000-0600-00003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00000000-0008-0000-0600-00003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H</a:t>
              </a:r>
            </a:p>
          </xdr:txBody>
        </xdr:sp>
        <xdr:sp macro="" textlink="GroupH.concat">
          <xdr:nvSpPr>
            <xdr:cNvPr id="60" name="Rectangle 59">
              <a:extLst>
                <a:ext uri="{FF2B5EF4-FFF2-40B4-BE49-F238E27FC236}">
                  <a16:creationId xmlns:a16="http://schemas.microsoft.com/office/drawing/2014/main" id="{00000000-0008-0000-0600-00003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888E42C5-0A48-473A-BAB4-AFF944D58ADD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لهستان
سنگال
کلمبیا
ژاپن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61" name="Straight Connector 60">
              <a:extLst>
                <a:ext uri="{FF2B5EF4-FFF2-40B4-BE49-F238E27FC236}">
                  <a16:creationId xmlns:a16="http://schemas.microsoft.com/office/drawing/2014/main" id="{00000000-0008-0000-0600-00003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" name="Index9">
            <a:hlinkClick xmlns:r="http://schemas.openxmlformats.org/officeDocument/2006/relationships" r:id="rId21"/>
            <a:extLst>
              <a:ext uri="{FF2B5EF4-FFF2-40B4-BE49-F238E27FC236}">
                <a16:creationId xmlns:a16="http://schemas.microsoft.com/office/drawing/2014/main" id="{00000000-0008-0000-0600-00003E000000}"/>
              </a:ext>
            </a:extLst>
          </xdr:cNvPr>
          <xdr:cNvGrpSpPr/>
        </xdr:nvGrpSpPr>
        <xdr:grpSpPr>
          <a:xfrm>
            <a:off x="89027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00000000-0008-0000-0600-00003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endParaRPr lang="en-GB" sz="1100" b="1"/>
            </a:p>
          </xdr:txBody>
        </xdr: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600-00004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KO</a:t>
              </a:r>
            </a:p>
          </xdr:txBody>
        </xdr:sp>
        <xdr:sp macro="" textlink="Knockout.concat">
          <xdr:nvSpPr>
            <xdr:cNvPr id="65" name="Rectangle 64">
              <a:extLst>
                <a:ext uri="{FF2B5EF4-FFF2-40B4-BE49-F238E27FC236}">
                  <a16:creationId xmlns:a16="http://schemas.microsoft.com/office/drawing/2014/main" id="{00000000-0008-0000-0600-00004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8289AC83-9D02-4D20-B1DD-F2FAAB8CE24A}" type="TxLink">
                <a:rPr lang="fa-IR" sz="1100" b="0" i="0" u="none" strike="noStrike">
                  <a:solidFill>
                    <a:schemeClr val="bg1"/>
                  </a:solidFill>
                  <a:latin typeface="Arial"/>
                  <a:cs typeface="Arial"/>
                </a:rPr>
                <a:pPr algn="ctr"/>
                <a:t>مرحله حذفی</a:t>
              </a:fld>
              <a:endParaRPr lang="en-US" sz="1200" b="0" i="0" u="none" strike="noStrike">
                <a:solidFill>
                  <a:schemeClr val="bg1"/>
                </a:solidFill>
                <a:latin typeface="+mn-lt"/>
                <a:cs typeface="Calibri"/>
              </a:endParaRP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000000-0008-0000-0600-00004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0</xdr:rowOff>
    </xdr:from>
    <xdr:to>
      <xdr:col>24</xdr:col>
      <xdr:colOff>45720</xdr:colOff>
      <xdr:row>3</xdr:row>
      <xdr:rowOff>53340</xdr:rowOff>
    </xdr:to>
    <xdr:sp macro="" textlink="">
      <xdr:nvSpPr>
        <xdr:cNvPr id="68" name="Rectangle 67"/>
        <xdr:cNvSpPr/>
      </xdr:nvSpPr>
      <xdr:spPr>
        <a:xfrm>
          <a:off x="15240" y="76200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19458</xdr:colOff>
          <xdr:row>8</xdr:row>
          <xdr:rowOff>16478</xdr:rowOff>
        </xdr:from>
        <xdr:to>
          <xdr:col>13</xdr:col>
          <xdr:colOff>476658</xdr:colOff>
          <xdr:row>9</xdr:row>
          <xdr:rowOff>29178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1st" spid="_x0000_s28793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321833" y="3731228"/>
              <a:ext cx="457200" cy="314325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10</xdr:row>
          <xdr:rowOff>19050</xdr:rowOff>
        </xdr:from>
        <xdr:to>
          <xdr:col>13</xdr:col>
          <xdr:colOff>469900</xdr:colOff>
          <xdr:row>11</xdr:row>
          <xdr:rowOff>15875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2nd" spid="_x0000_s28794"/>
                </a:ext>
              </a:extLst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315075" y="4186238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</xdr:colOff>
          <xdr:row>12</xdr:row>
          <xdr:rowOff>4761</xdr:rowOff>
        </xdr:from>
        <xdr:to>
          <xdr:col>13</xdr:col>
          <xdr:colOff>461962</xdr:colOff>
          <xdr:row>13</xdr:row>
          <xdr:rowOff>17461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7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3rd" spid="_x0000_s28795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465887" y="4640261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</xdr:colOff>
          <xdr:row>14</xdr:row>
          <xdr:rowOff>1587</xdr:rowOff>
        </xdr:from>
        <xdr:to>
          <xdr:col>13</xdr:col>
          <xdr:colOff>471487</xdr:colOff>
          <xdr:row>15</xdr:row>
          <xdr:rowOff>14287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4th" spid="_x0000_s28796"/>
                </a:ext>
              </a:extLst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475412" y="5089525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55563</xdr:colOff>
          <xdr:row>19</xdr:row>
          <xdr:rowOff>11113</xdr:rowOff>
        </xdr:from>
        <xdr:to>
          <xdr:col>5</xdr:col>
          <xdr:colOff>512763</xdr:colOff>
          <xdr:row>20</xdr:row>
          <xdr:rowOff>1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Win" spid="_x0000_s28797"/>
                </a:ext>
              </a:extLst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3444876" y="6242051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7938</xdr:colOff>
          <xdr:row>19</xdr:row>
          <xdr:rowOff>11112</xdr:rowOff>
        </xdr:from>
        <xdr:to>
          <xdr:col>9</xdr:col>
          <xdr:colOff>465138</xdr:colOff>
          <xdr:row>20</xdr:row>
          <xdr:rowOff>0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G'!FlagSelect.RU" spid="_x0000_s28798"/>
                </a:ext>
              </a:extLst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4833938" y="6242050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19049</xdr:colOff>
      <xdr:row>0</xdr:row>
      <xdr:rowOff>0</xdr:rowOff>
    </xdr:from>
    <xdr:to>
      <xdr:col>24</xdr:col>
      <xdr:colOff>76199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9049" y="0"/>
          <a:ext cx="10029825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23</xdr:col>
      <xdr:colOff>285750</xdr:colOff>
      <xdr:row>3</xdr:row>
      <xdr:rowOff>9525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GrpSpPr/>
      </xdr:nvGrpSpPr>
      <xdr:grpSpPr>
        <a:xfrm>
          <a:off x="63500" y="762000"/>
          <a:ext cx="11263630" cy="1967865"/>
          <a:chOff x="63500" y="762000"/>
          <a:chExt cx="9890125" cy="1962150"/>
        </a:xfrm>
      </xdr:grpSpPr>
      <xdr:grpSp>
        <xdr:nvGrpSpPr>
          <xdr:cNvPr id="21" name="Index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GrpSpPr/>
        </xdr:nvGrpSpPr>
        <xdr:grpSpPr>
          <a:xfrm>
            <a:off x="635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700-00001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0700-00001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A</a:t>
              </a:r>
            </a:p>
          </xdr:txBody>
        </xdr:sp>
        <xdr:sp macro="" textlink="GroupA.concat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0700-00001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B2B05069-AAF1-4A50-B082-4EB5C7F1A1B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روسیه
عربستان
مصر
اروگوئه</a:t>
              </a:fld>
              <a:endParaRPr lang="en-GB" sz="12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700-00001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Index2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GrpSpPr/>
        </xdr:nvGrpSpPr>
        <xdr:grpSpPr>
          <a:xfrm>
            <a:off x="11684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0700-00001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0700-00001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B</a:t>
              </a:r>
            </a:p>
          </xdr:txBody>
        </xdr:sp>
        <xdr:sp macro="" textlink="GroupB.concat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48EAD615-B99E-432B-8EC0-1D36C4212F39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پرتغال
اسپانیا
مراکش
ایران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700-00001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Index3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GrpSpPr/>
        </xdr:nvGrpSpPr>
        <xdr:grpSpPr>
          <a:xfrm>
            <a:off x="22733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C</a:t>
              </a:r>
            </a:p>
          </xdr:txBody>
        </xdr:sp>
        <xdr:sp macro="" textlink="GroupC.concat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0700-00002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F54BB364-88A5-413F-B93F-D6C82719892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فرانسه
استرالیا
پرو
دانمارک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" name="Index4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GrpSpPr/>
        </xdr:nvGrpSpPr>
        <xdr:grpSpPr>
          <a:xfrm>
            <a:off x="33782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700-00002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D</a:t>
              </a:r>
            </a:p>
          </xdr:txBody>
        </xdr:sp>
        <xdr:sp macro="" textlink="GroupD.concat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0700-00002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15DF66C6-1617-4102-A935-5868AA17EF13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آرژانتین
ایسلند
کروواسی
نیجریه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00000000-0008-0000-0700-00002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" name="Index5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GrpSpPr/>
        </xdr:nvGrpSpPr>
        <xdr:grpSpPr>
          <a:xfrm>
            <a:off x="44831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0700-00002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0700-00002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E</a:t>
              </a:r>
            </a:p>
          </xdr:txBody>
        </xdr:sp>
        <xdr:sp macro="" textlink="GroupE.concat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0700-00002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CC05A699-5778-4835-A389-E93F2386613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برزیل
سوییس
کاستاریکا
صربستان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00000000-0008-0000-0700-00002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6" name="Index6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GrpSpPr/>
        </xdr:nvGrpSpPr>
        <xdr:grpSpPr>
          <a:xfrm>
            <a:off x="55880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0700-00002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0700-00003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F</a:t>
              </a:r>
            </a:p>
          </xdr:txBody>
        </xdr:sp>
        <xdr:sp macro="" textlink="GroupF.concat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0700-00003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7708B812-8AEA-4008-9187-1E6EC99956FA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آلمان
مکزیک
سوئد
کره جنوبی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0" name="Straight Connector 49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1" name="Index7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GrpSpPr/>
        </xdr:nvGrpSpPr>
        <xdr:grpSpPr>
          <a:xfrm>
            <a:off x="6692900" y="762000"/>
            <a:ext cx="1050925" cy="1962150"/>
            <a:chOff x="16764000" y="0"/>
            <a:chExt cx="1047750" cy="196215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00000000-0008-0000-0700-000034000000}"/>
                </a:ext>
              </a:extLst>
            </xdr:cNvPr>
            <xdr:cNvSpPr/>
          </xdr:nvSpPr>
          <xdr:spPr>
            <a:xfrm>
              <a:off x="1676400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SpPr/>
          </xdr:nvSpPr>
          <xdr:spPr>
            <a:xfrm>
              <a:off x="16764000" y="190500"/>
              <a:ext cx="1047750" cy="381000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G</a:t>
              </a:r>
            </a:p>
          </xdr:txBody>
        </xdr:sp>
        <xdr:sp macro="" textlink="GroupG.concat">
          <xdr:nvSpPr>
            <xdr:cNvPr id="54" name="Rectangle 53">
              <a:extLst>
                <a:ext uri="{FF2B5EF4-FFF2-40B4-BE49-F238E27FC236}">
                  <a16:creationId xmlns:a16="http://schemas.microsoft.com/office/drawing/2014/main" id="{00000000-0008-0000-0700-000036000000}"/>
                </a:ext>
              </a:extLst>
            </xdr:cNvPr>
            <xdr:cNvSpPr/>
          </xdr:nvSpPr>
          <xdr:spPr>
            <a:xfrm>
              <a:off x="16764000" y="571500"/>
              <a:ext cx="1047750" cy="990600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65D4B922-320A-4C39-A4A4-61E766F3B3A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بلژیک
پاناما
تونس
انگلستان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5" name="Straight Connector 54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CxnSpPr/>
          </xdr:nvCxnSpPr>
          <xdr:spPr>
            <a:xfrm>
              <a:off x="1676400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6" name="Isosceles Triangle 55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SpPr/>
          </xdr:nvSpPr>
          <xdr:spPr>
            <a:xfrm flipV="1">
              <a:off x="16764000" y="1562100"/>
              <a:ext cx="1047750" cy="400050"/>
            </a:xfrm>
            <a:prstGeom prst="triangle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7" name="Index8">
            <a:hlinkClick xmlns:r="http://schemas.openxmlformats.org/officeDocument/2006/relationships" r:id="rId20"/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GrpSpPr/>
        </xdr:nvGrpSpPr>
        <xdr:grpSpPr>
          <a:xfrm>
            <a:off x="77978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00000000-0008-0000-0700-00003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9" name="Rectangle 58">
              <a:extLst>
                <a:ext uri="{FF2B5EF4-FFF2-40B4-BE49-F238E27FC236}">
                  <a16:creationId xmlns:a16="http://schemas.microsoft.com/office/drawing/2014/main" id="{00000000-0008-0000-0700-00003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H</a:t>
              </a:r>
            </a:p>
          </xdr:txBody>
        </xdr:sp>
        <xdr:sp macro="" textlink="GroupH.concat">
          <xdr:nvSpPr>
            <xdr:cNvPr id="60" name="Rectangle 59">
              <a:extLst>
                <a:ext uri="{FF2B5EF4-FFF2-40B4-BE49-F238E27FC236}">
                  <a16:creationId xmlns:a16="http://schemas.microsoft.com/office/drawing/2014/main" id="{00000000-0008-0000-0700-00003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888E42C5-0A48-473A-BAB4-AFF944D58ADD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لهستان
سنگال
کلمبیا
ژاپن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61" name="Straight Connector 60">
              <a:extLst>
                <a:ext uri="{FF2B5EF4-FFF2-40B4-BE49-F238E27FC236}">
                  <a16:creationId xmlns:a16="http://schemas.microsoft.com/office/drawing/2014/main" id="{00000000-0008-0000-0700-00003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" name="Index9">
            <a:hlinkClick xmlns:r="http://schemas.openxmlformats.org/officeDocument/2006/relationships" r:id="rId21"/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GrpSpPr/>
        </xdr:nvGrpSpPr>
        <xdr:grpSpPr>
          <a:xfrm>
            <a:off x="89027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00000000-0008-0000-0700-00003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endParaRPr lang="en-GB" sz="1100" b="1"/>
            </a:p>
          </xdr:txBody>
        </xdr: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700-00004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KO</a:t>
              </a:r>
            </a:p>
          </xdr:txBody>
        </xdr:sp>
        <xdr:sp macro="" textlink="Knockout.concat">
          <xdr:nvSpPr>
            <xdr:cNvPr id="65" name="Rectangle 64">
              <a:extLst>
                <a:ext uri="{FF2B5EF4-FFF2-40B4-BE49-F238E27FC236}">
                  <a16:creationId xmlns:a16="http://schemas.microsoft.com/office/drawing/2014/main" id="{00000000-0008-0000-0700-00004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8D51C6D9-D15A-47DA-A632-4625ACCB3F48}" type="TxLink">
                <a:rPr lang="fa-IR" sz="1100" b="0" i="0" u="none" strike="noStrike">
                  <a:solidFill>
                    <a:schemeClr val="bg1"/>
                  </a:solidFill>
                  <a:latin typeface="Arial"/>
                  <a:cs typeface="Arial"/>
                </a:rPr>
                <a:pPr algn="ctr"/>
                <a:t>مرحله حذفی</a:t>
              </a:fld>
              <a:endParaRPr lang="en-US" sz="1200" b="0" i="0" u="none" strike="noStrike">
                <a:solidFill>
                  <a:schemeClr val="bg1"/>
                </a:solidFill>
                <a:latin typeface="+mn-lt"/>
                <a:cs typeface="Calibri"/>
              </a:endParaRP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000000-0008-0000-0700-00004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662940</xdr:rowOff>
    </xdr:from>
    <xdr:to>
      <xdr:col>24</xdr:col>
      <xdr:colOff>30480</xdr:colOff>
      <xdr:row>2</xdr:row>
      <xdr:rowOff>297180</xdr:rowOff>
    </xdr:to>
    <xdr:sp macro="" textlink="">
      <xdr:nvSpPr>
        <xdr:cNvPr id="68" name="Rectangle 67"/>
        <xdr:cNvSpPr/>
      </xdr:nvSpPr>
      <xdr:spPr>
        <a:xfrm>
          <a:off x="0" y="662940"/>
          <a:ext cx="11422380" cy="201168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  <xdr:twoCellAnchor editAs="oneCell">
    <xdr:from>
      <xdr:col>5</xdr:col>
      <xdr:colOff>50800</xdr:colOff>
      <xdr:row>6</xdr:row>
      <xdr:rowOff>0</xdr:rowOff>
    </xdr:from>
    <xdr:to>
      <xdr:col>5</xdr:col>
      <xdr:colOff>508000</xdr:colOff>
      <xdr:row>7</xdr:row>
      <xdr:rowOff>12700</xdr:rowOff>
    </xdr:to>
    <xdr:pic>
      <xdr:nvPicPr>
        <xdr:cNvPr id="2" name="Picture G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8</xdr:row>
      <xdr:rowOff>0</xdr:rowOff>
    </xdr:from>
    <xdr:to>
      <xdr:col>5</xdr:col>
      <xdr:colOff>508000</xdr:colOff>
      <xdr:row>9</xdr:row>
      <xdr:rowOff>12700</xdr:rowOff>
    </xdr:to>
    <xdr:pic>
      <xdr:nvPicPr>
        <xdr:cNvPr id="3" name="Picture G2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40113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10</xdr:row>
      <xdr:rowOff>0</xdr:rowOff>
    </xdr:from>
    <xdr:to>
      <xdr:col>5</xdr:col>
      <xdr:colOff>508000</xdr:colOff>
      <xdr:row>11</xdr:row>
      <xdr:rowOff>0</xdr:rowOff>
    </xdr:to>
    <xdr:pic>
      <xdr:nvPicPr>
        <xdr:cNvPr id="4" name="Picture G3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113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12</xdr:row>
      <xdr:rowOff>0</xdr:rowOff>
    </xdr:from>
    <xdr:to>
      <xdr:col>5</xdr:col>
      <xdr:colOff>508000</xdr:colOff>
      <xdr:row>13</xdr:row>
      <xdr:rowOff>12700</xdr:rowOff>
    </xdr:to>
    <xdr:pic>
      <xdr:nvPicPr>
        <xdr:cNvPr id="5" name="Picture G4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40113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14</xdr:row>
      <xdr:rowOff>0</xdr:rowOff>
    </xdr:from>
    <xdr:to>
      <xdr:col>5</xdr:col>
      <xdr:colOff>508000</xdr:colOff>
      <xdr:row>15</xdr:row>
      <xdr:rowOff>12700</xdr:rowOff>
    </xdr:to>
    <xdr:pic>
      <xdr:nvPicPr>
        <xdr:cNvPr id="6" name="Picture G5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40113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16</xdr:row>
      <xdr:rowOff>0</xdr:rowOff>
    </xdr:from>
    <xdr:to>
      <xdr:col>5</xdr:col>
      <xdr:colOff>508000</xdr:colOff>
      <xdr:row>17</xdr:row>
      <xdr:rowOff>12700</xdr:rowOff>
    </xdr:to>
    <xdr:pic>
      <xdr:nvPicPr>
        <xdr:cNvPr id="7" name="Picture G6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40113" y="5540375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</xdr:row>
      <xdr:rowOff>0</xdr:rowOff>
    </xdr:from>
    <xdr:to>
      <xdr:col>9</xdr:col>
      <xdr:colOff>508000</xdr:colOff>
      <xdr:row>7</xdr:row>
      <xdr:rowOff>12700</xdr:rowOff>
    </xdr:to>
    <xdr:pic>
      <xdr:nvPicPr>
        <xdr:cNvPr id="8" name="Picture G1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7425" y="3262313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8</xdr:row>
      <xdr:rowOff>0</xdr:rowOff>
    </xdr:from>
    <xdr:to>
      <xdr:col>9</xdr:col>
      <xdr:colOff>508000</xdr:colOff>
      <xdr:row>9</xdr:row>
      <xdr:rowOff>12700</xdr:rowOff>
    </xdr:to>
    <xdr:pic>
      <xdr:nvPicPr>
        <xdr:cNvPr id="9" name="Picture G2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7425" y="371475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10</xdr:row>
      <xdr:rowOff>0</xdr:rowOff>
    </xdr:from>
    <xdr:to>
      <xdr:col>9</xdr:col>
      <xdr:colOff>508000</xdr:colOff>
      <xdr:row>11</xdr:row>
      <xdr:rowOff>0</xdr:rowOff>
    </xdr:to>
    <xdr:pic>
      <xdr:nvPicPr>
        <xdr:cNvPr id="10" name="Picture G32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97425" y="416718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12</xdr:row>
      <xdr:rowOff>0</xdr:rowOff>
    </xdr:from>
    <xdr:to>
      <xdr:col>9</xdr:col>
      <xdr:colOff>508000</xdr:colOff>
      <xdr:row>13</xdr:row>
      <xdr:rowOff>12700</xdr:rowOff>
    </xdr:to>
    <xdr:pic>
      <xdr:nvPicPr>
        <xdr:cNvPr id="11" name="Picture G4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97425" y="4635500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14</xdr:row>
      <xdr:rowOff>0</xdr:rowOff>
    </xdr:from>
    <xdr:to>
      <xdr:col>9</xdr:col>
      <xdr:colOff>508000</xdr:colOff>
      <xdr:row>15</xdr:row>
      <xdr:rowOff>12700</xdr:rowOff>
    </xdr:to>
    <xdr:pic>
      <xdr:nvPicPr>
        <xdr:cNvPr id="12" name="Picture G5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7425" y="5087938"/>
          <a:ext cx="457200" cy="3143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16</xdr:row>
      <xdr:rowOff>0</xdr:rowOff>
    </xdr:from>
    <xdr:to>
      <xdr:col>9</xdr:col>
      <xdr:colOff>508000</xdr:colOff>
      <xdr:row>17</xdr:row>
      <xdr:rowOff>12700</xdr:rowOff>
    </xdr:to>
    <xdr:pic>
      <xdr:nvPicPr>
        <xdr:cNvPr id="13" name="Picture G6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  <a:extLst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7425" y="5540375"/>
          <a:ext cx="457200" cy="314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</xdr:colOff>
          <xdr:row>8</xdr:row>
          <xdr:rowOff>8540</xdr:rowOff>
        </xdr:from>
        <xdr:to>
          <xdr:col>13</xdr:col>
          <xdr:colOff>436762</xdr:colOff>
          <xdr:row>9</xdr:row>
          <xdr:rowOff>3915</xdr:rowOff>
        </xdr:to>
        <xdr:pic>
          <xdr:nvPicPr>
            <xdr:cNvPr id="14" name="Picture GS1" descr="FlagSelect.1st ">
              <a:extLst>
                <a:ext uri="{FF2B5EF4-FFF2-40B4-BE49-F238E27FC236}">
                  <a16:creationId xmlns:a16="http://schemas.microsoft.com/office/drawing/2014/main" id="{00000000-0008-0000-0800-00000E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1st" spid="_x0000_s29817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6465887" y="3723290"/>
              <a:ext cx="432000" cy="297000"/>
            </a:xfrm>
            <a:prstGeom prst="rect">
              <a:avLst/>
            </a:prstGeom>
            <a:noFill/>
            <a:ln>
              <a:noFill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</xdr:colOff>
          <xdr:row>10</xdr:row>
          <xdr:rowOff>11514</xdr:rowOff>
        </xdr:from>
        <xdr:to>
          <xdr:col>13</xdr:col>
          <xdr:colOff>436762</xdr:colOff>
          <xdr:row>10</xdr:row>
          <xdr:rowOff>308514</xdr:rowOff>
        </xdr:to>
        <xdr:pic>
          <xdr:nvPicPr>
            <xdr:cNvPr id="15" name="Picture GS2" descr="FlagSelect.2nd 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2nd" spid="_x0000_s29818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465887" y="4178702"/>
              <a:ext cx="432000" cy="297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12700</xdr:colOff>
          <xdr:row>12</xdr:row>
          <xdr:rowOff>6552</xdr:rowOff>
        </xdr:from>
        <xdr:to>
          <xdr:col>13</xdr:col>
          <xdr:colOff>444700</xdr:colOff>
          <xdr:row>13</xdr:row>
          <xdr:rowOff>1927</xdr:rowOff>
        </xdr:to>
        <xdr:pic>
          <xdr:nvPicPr>
            <xdr:cNvPr id="16" name="Picture GS3" descr="FlagSelect.3rd ">
              <a:extLst>
                <a:ext uri="{FF2B5EF4-FFF2-40B4-BE49-F238E27FC236}">
                  <a16:creationId xmlns:a16="http://schemas.microsoft.com/office/drawing/2014/main" id="{00000000-0008-0000-0800-000010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3rd" spid="_x0000_s29819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6473825" y="4642052"/>
              <a:ext cx="432000" cy="297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</xdr:colOff>
          <xdr:row>14</xdr:row>
          <xdr:rowOff>1587</xdr:rowOff>
        </xdr:from>
        <xdr:to>
          <xdr:col>13</xdr:col>
          <xdr:colOff>436762</xdr:colOff>
          <xdr:row>14</xdr:row>
          <xdr:rowOff>298587</xdr:rowOff>
        </xdr:to>
        <xdr:pic>
          <xdr:nvPicPr>
            <xdr:cNvPr id="17" name="Picture GS4" descr="FlagSelect.4th 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4th" spid="_x0000_s29820"/>
                </a:ext>
              </a:extLst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465887" y="5089525"/>
              <a:ext cx="432000" cy="2970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95253</xdr:colOff>
          <xdr:row>19</xdr:row>
          <xdr:rowOff>15875</xdr:rowOff>
        </xdr:from>
        <xdr:to>
          <xdr:col>6</xdr:col>
          <xdr:colOff>3378</xdr:colOff>
          <xdr:row>20</xdr:row>
          <xdr:rowOff>2093</xdr:rowOff>
        </xdr:to>
        <xdr:pic>
          <xdr:nvPicPr>
            <xdr:cNvPr id="18" name="Picture GWN" descr="FlagSelect.Win 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Win" spid="_x0000_s29821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3484566" y="6246813"/>
              <a:ext cx="432000" cy="31165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7938</xdr:colOff>
          <xdr:row>19</xdr:row>
          <xdr:rowOff>7938</xdr:rowOff>
        </xdr:from>
        <xdr:to>
          <xdr:col>9</xdr:col>
          <xdr:colOff>465138</xdr:colOff>
          <xdr:row>20</xdr:row>
          <xdr:rowOff>2223</xdr:rowOff>
        </xdr:to>
        <xdr:pic>
          <xdr:nvPicPr>
            <xdr:cNvPr id="19" name="Picture GRU" descr="FlagSelect.RU ">
              <a:extLst>
                <a:ext uri="{FF2B5EF4-FFF2-40B4-BE49-F238E27FC236}">
                  <a16:creationId xmlns:a16="http://schemas.microsoft.com/office/drawing/2014/main" id="{00000000-0008-0000-0800-00001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'Group H'!FlagSelect.RU" spid="_x0000_s29822"/>
                </a:ext>
              </a:extLst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4754563" y="6238876"/>
              <a:ext cx="457200" cy="3143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0</xdr:col>
      <xdr:colOff>19049</xdr:colOff>
      <xdr:row>0</xdr:row>
      <xdr:rowOff>0</xdr:rowOff>
    </xdr:from>
    <xdr:to>
      <xdr:col>24</xdr:col>
      <xdr:colOff>76199</xdr:colOff>
      <xdr:row>1</xdr:row>
      <xdr:rowOff>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/>
      </xdr:nvSpPr>
      <xdr:spPr>
        <a:xfrm>
          <a:off x="19049" y="0"/>
          <a:ext cx="9867900" cy="762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4400" b="1" i="0" u="none" strike="noStrike" kern="0" cap="none" spc="0" normalizeH="0" baseline="0" noProof="0">
              <a:ln w="38100">
                <a:solidFill>
                  <a:srgbClr val="434343"/>
                </a:solidFill>
                <a:prstDash val="solid"/>
              </a:ln>
              <a:solidFill>
                <a:srgbClr val="E67E22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uLnTx/>
              <a:uFillTx/>
              <a:latin typeface="Arial Black" panose="020B0A04020102020204" pitchFamily="34" charset="0"/>
              <a:ea typeface="+mn-ea"/>
              <a:cs typeface="+mn-cs"/>
            </a:rPr>
            <a:t>WORLD CUP 2018 RUSSIA</a:t>
          </a:r>
        </a:p>
      </xdr:txBody>
    </xdr:sp>
    <xdr:clientData/>
  </xdr:twoCellAnchor>
  <xdr:twoCellAnchor editAs="absolute">
    <xdr:from>
      <xdr:col>0</xdr:col>
      <xdr:colOff>63500</xdr:colOff>
      <xdr:row>1</xdr:row>
      <xdr:rowOff>0</xdr:rowOff>
    </xdr:from>
    <xdr:to>
      <xdr:col>23</xdr:col>
      <xdr:colOff>285750</xdr:colOff>
      <xdr:row>3</xdr:row>
      <xdr:rowOff>9525</xdr:rowOff>
    </xdr:to>
    <xdr:grpSp>
      <xdr:nvGrpSpPr>
        <xdr:cNvPr id="67" name="Group 6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GrpSpPr/>
      </xdr:nvGrpSpPr>
      <xdr:grpSpPr>
        <a:xfrm>
          <a:off x="63500" y="762000"/>
          <a:ext cx="11263630" cy="1967865"/>
          <a:chOff x="63500" y="762000"/>
          <a:chExt cx="9890125" cy="1962150"/>
        </a:xfrm>
      </xdr:grpSpPr>
      <xdr:grpSp>
        <xdr:nvGrpSpPr>
          <xdr:cNvPr id="21" name="Index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GrpSpPr/>
        </xdr:nvGrpSpPr>
        <xdr:grpSpPr>
          <a:xfrm>
            <a:off x="635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800-000016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0800-000017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A</a:t>
              </a:r>
            </a:p>
          </xdr:txBody>
        </xdr:sp>
        <xdr:sp macro="" textlink="GroupA.concat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0800-000018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B2B05069-AAF1-4A50-B082-4EB5C7F1A1B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روسیه
عربستان
مصر
اروگوئه</a:t>
              </a:fld>
              <a:endParaRPr lang="en-GB" sz="12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800-000019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" name="Index2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GrpSpPr/>
        </xdr:nvGrpSpPr>
        <xdr:grpSpPr>
          <a:xfrm>
            <a:off x="11684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0800-00001B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0800-00001C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B</a:t>
              </a:r>
            </a:p>
          </xdr:txBody>
        </xdr:sp>
        <xdr:sp macro="" textlink="GroupB.concat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800-00001D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48EAD615-B99E-432B-8EC0-1D36C4212F39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پرتغال
اسپانیا
مراکش
ایران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800-00001E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" name="Index3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800-00001F000000}"/>
              </a:ext>
            </a:extLst>
          </xdr:cNvPr>
          <xdr:cNvGrpSpPr/>
        </xdr:nvGrpSpPr>
        <xdr:grpSpPr>
          <a:xfrm>
            <a:off x="22733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0800-000020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0800-000021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C</a:t>
              </a:r>
            </a:p>
          </xdr:txBody>
        </xdr:sp>
        <xdr:sp macro="" textlink="GroupC.concat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0800-000022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F54BB364-88A5-413F-B93F-D6C82719892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فرانسه
استرالیا
پرو
دانمارک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00000000-0008-0000-0800-000023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" name="Index4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800-000024000000}"/>
              </a:ext>
            </a:extLst>
          </xdr:cNvPr>
          <xdr:cNvGrpSpPr/>
        </xdr:nvGrpSpPr>
        <xdr:grpSpPr>
          <a:xfrm>
            <a:off x="33782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0800-000025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800-000026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D</a:t>
              </a:r>
            </a:p>
          </xdr:txBody>
        </xdr:sp>
        <xdr:sp macro="" textlink="GroupD.concat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0800-000027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15DF66C6-1617-4102-A935-5868AA17EF13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آرژانتین
ایسلند
کروواسی
نیجریه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00000000-0008-0000-0800-000028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" name="Index5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GrpSpPr/>
        </xdr:nvGrpSpPr>
        <xdr:grpSpPr>
          <a:xfrm>
            <a:off x="44831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0800-00002A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0800-00002B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E</a:t>
              </a:r>
            </a:p>
          </xdr:txBody>
        </xdr:sp>
        <xdr:sp macro="" textlink="GroupE.concat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0800-00002C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CC05A699-5778-4835-A389-E93F2386613E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برزیل
سوییس
کاستاریکا
صربستان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00000000-0008-0000-0800-00002D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6" name="Index6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GrpSpPr/>
        </xdr:nvGrpSpPr>
        <xdr:grpSpPr>
          <a:xfrm>
            <a:off x="55880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0800-00002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0800-00003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F</a:t>
              </a:r>
            </a:p>
          </xdr:txBody>
        </xdr:sp>
        <xdr:sp macro="" textlink="GroupF.concat">
          <xdr:nvSpPr>
            <xdr:cNvPr id="49" name="Rectangle 48">
              <a:extLst>
                <a:ext uri="{FF2B5EF4-FFF2-40B4-BE49-F238E27FC236}">
                  <a16:creationId xmlns:a16="http://schemas.microsoft.com/office/drawing/2014/main" id="{00000000-0008-0000-0800-00003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7708B812-8AEA-4008-9187-1E6EC99956FA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آلمان
مکزیک
سوئد
کره جنوبی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0" name="Straight Connector 49">
              <a:extLst>
                <a:ext uri="{FF2B5EF4-FFF2-40B4-BE49-F238E27FC236}">
                  <a16:creationId xmlns:a16="http://schemas.microsoft.com/office/drawing/2014/main" id="{00000000-0008-0000-0800-00003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1" name="Index7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00000000-0008-0000-0800-000033000000}"/>
              </a:ext>
            </a:extLst>
          </xdr:cNvPr>
          <xdr:cNvGrpSpPr/>
        </xdr:nvGrpSpPr>
        <xdr:grpSpPr>
          <a:xfrm>
            <a:off x="66929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2" name="Rectangle 51">
              <a:extLst>
                <a:ext uri="{FF2B5EF4-FFF2-40B4-BE49-F238E27FC236}">
                  <a16:creationId xmlns:a16="http://schemas.microsoft.com/office/drawing/2014/main" id="{00000000-0008-0000-0800-000034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3" name="Rectangle 52">
              <a:extLst>
                <a:ext uri="{FF2B5EF4-FFF2-40B4-BE49-F238E27FC236}">
                  <a16:creationId xmlns:a16="http://schemas.microsoft.com/office/drawing/2014/main" id="{00000000-0008-0000-0800-000035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G</a:t>
              </a:r>
            </a:p>
          </xdr:txBody>
        </xdr:sp>
        <xdr:sp macro="" textlink="GroupG.concat">
          <xdr:nvSpPr>
            <xdr:cNvPr id="54" name="Rectangle 53">
              <a:extLst>
                <a:ext uri="{FF2B5EF4-FFF2-40B4-BE49-F238E27FC236}">
                  <a16:creationId xmlns:a16="http://schemas.microsoft.com/office/drawing/2014/main" id="{00000000-0008-0000-0800-000036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65D4B922-320A-4C39-A4A4-61E766F3B3AC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بلژیک
پاناما
تونس
انگلستان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55" name="Straight Connector 54">
              <a:extLst>
                <a:ext uri="{FF2B5EF4-FFF2-40B4-BE49-F238E27FC236}">
                  <a16:creationId xmlns:a16="http://schemas.microsoft.com/office/drawing/2014/main" id="{00000000-0008-0000-0800-000037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6" name="Index8">
            <a:extLst>
              <a:ext uri="{FF2B5EF4-FFF2-40B4-BE49-F238E27FC236}">
                <a16:creationId xmlns:a16="http://schemas.microsoft.com/office/drawing/2014/main" id="{00000000-0008-0000-0800-000038000000}"/>
              </a:ext>
            </a:extLst>
          </xdr:cNvPr>
          <xdr:cNvGrpSpPr/>
        </xdr:nvGrpSpPr>
        <xdr:grpSpPr>
          <a:xfrm>
            <a:off x="7797800" y="762000"/>
            <a:ext cx="1050925" cy="1962150"/>
            <a:chOff x="17811750" y="0"/>
            <a:chExt cx="1047750" cy="196215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57" name="Rectangle 56">
              <a:extLst>
                <a:ext uri="{FF2B5EF4-FFF2-40B4-BE49-F238E27FC236}">
                  <a16:creationId xmlns:a16="http://schemas.microsoft.com/office/drawing/2014/main" id="{00000000-0008-0000-0800-000039000000}"/>
                </a:ext>
              </a:extLst>
            </xdr:cNvPr>
            <xdr:cNvSpPr/>
          </xdr:nvSpPr>
          <xdr:spPr>
            <a:xfrm>
              <a:off x="17811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1100" b="1"/>
                <a:t>GROUP</a:t>
              </a:r>
            </a:p>
          </xdr:txBody>
        </xdr:sp>
        <xdr:sp macro="" textlink="">
          <xdr:nvSpPr>
            <xdr:cNvPr id="58" name="Rectangle 57">
              <a:extLst>
                <a:ext uri="{FF2B5EF4-FFF2-40B4-BE49-F238E27FC236}">
                  <a16:creationId xmlns:a16="http://schemas.microsoft.com/office/drawing/2014/main" id="{00000000-0008-0000-0800-00003A000000}"/>
                </a:ext>
              </a:extLst>
            </xdr:cNvPr>
            <xdr:cNvSpPr/>
          </xdr:nvSpPr>
          <xdr:spPr>
            <a:xfrm>
              <a:off x="17811750" y="190500"/>
              <a:ext cx="1047750" cy="381000"/>
            </a:xfrm>
            <a:prstGeom prst="rect">
              <a:avLst/>
            </a:prstGeom>
            <a:solidFill>
              <a:srgbClr val="FF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H</a:t>
              </a:r>
            </a:p>
          </xdr:txBody>
        </xdr:sp>
        <xdr:sp macro="" textlink="GroupH.concat">
          <xdr:nvSpPr>
            <xdr:cNvPr id="59" name="Rectangle 58">
              <a:extLst>
                <a:ext uri="{FF2B5EF4-FFF2-40B4-BE49-F238E27FC236}">
                  <a16:creationId xmlns:a16="http://schemas.microsoft.com/office/drawing/2014/main" id="{00000000-0008-0000-0800-00003B000000}"/>
                </a:ext>
              </a:extLst>
            </xdr:cNvPr>
            <xdr:cNvSpPr/>
          </xdr:nvSpPr>
          <xdr:spPr>
            <a:xfrm>
              <a:off x="17811750" y="571500"/>
              <a:ext cx="1047750" cy="990600"/>
            </a:xfrm>
            <a:prstGeom prst="rect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fld id="{888E42C5-0A48-473A-BAB4-AFF944D58ADD}" type="TxLink">
                <a:rPr lang="en-US" altLang="ja-JP" sz="1200" b="0" i="0" u="none" strike="noStrike">
                  <a:solidFill>
                    <a:schemeClr val="bg1"/>
                  </a:solidFill>
                  <a:latin typeface="Calibri"/>
                  <a:cs typeface="Calibri"/>
                </a:rPr>
                <a:pPr algn="l"/>
                <a:t>لهستان
سنگال
کلمبیا
ژاپن</a:t>
              </a:fld>
              <a:endParaRPr lang="en-GB" sz="14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60" name="Straight Connector 59">
              <a:extLst>
                <a:ext uri="{FF2B5EF4-FFF2-40B4-BE49-F238E27FC236}">
                  <a16:creationId xmlns:a16="http://schemas.microsoft.com/office/drawing/2014/main" id="{00000000-0008-0000-0800-00003C000000}"/>
                </a:ext>
              </a:extLst>
            </xdr:cNvPr>
            <xdr:cNvCxnSpPr/>
          </xdr:nvCxnSpPr>
          <xdr:spPr>
            <a:xfrm>
              <a:off x="17811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" name="Isosceles Triangle 60">
              <a:extLst>
                <a:ext uri="{FF2B5EF4-FFF2-40B4-BE49-F238E27FC236}">
                  <a16:creationId xmlns:a16="http://schemas.microsoft.com/office/drawing/2014/main" id="{00000000-0008-0000-0800-00003D000000}"/>
                </a:ext>
              </a:extLst>
            </xdr:cNvPr>
            <xdr:cNvSpPr/>
          </xdr:nvSpPr>
          <xdr:spPr>
            <a:xfrm flipV="1">
              <a:off x="17811750" y="1562100"/>
              <a:ext cx="1047750" cy="400050"/>
            </a:xfrm>
            <a:prstGeom prst="triangle">
              <a:avLst/>
            </a:prstGeom>
            <a:solidFill>
              <a:srgbClr val="C0000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62" name="Index9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00000000-0008-0000-0800-00003E000000}"/>
              </a:ext>
            </a:extLst>
          </xdr:cNvPr>
          <xdr:cNvGrpSpPr/>
        </xdr:nvGrpSpPr>
        <xdr:grpSpPr>
          <a:xfrm>
            <a:off x="8902700" y="762000"/>
            <a:ext cx="1050925" cy="1562100"/>
            <a:chOff x="1047750" y="0"/>
            <a:chExt cx="1047750" cy="1562100"/>
          </a:xfrm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grpSpPr>
        <xdr:sp macro="" textlink="">
          <xdr:nvSpPr>
            <xdr:cNvPr id="63" name="Rectangle 62">
              <a:extLst>
                <a:ext uri="{FF2B5EF4-FFF2-40B4-BE49-F238E27FC236}">
                  <a16:creationId xmlns:a16="http://schemas.microsoft.com/office/drawing/2014/main" id="{00000000-0008-0000-0800-00003F000000}"/>
                </a:ext>
              </a:extLst>
            </xdr:cNvPr>
            <xdr:cNvSpPr/>
          </xdr:nvSpPr>
          <xdr:spPr>
            <a:xfrm>
              <a:off x="1047750" y="0"/>
              <a:ext cx="1047750" cy="190500"/>
            </a:xfrm>
            <a:prstGeom prst="rect">
              <a:avLst/>
            </a:prstGeom>
            <a:solidFill>
              <a:schemeClr val="accent5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endParaRPr lang="en-GB" sz="1100" b="1"/>
            </a:p>
          </xdr:txBody>
        </xdr:sp>
        <xdr:sp macro="" textlink="">
          <xdr:nvSpPr>
            <xdr:cNvPr id="64" name="Rectangle 63">
              <a:extLst>
                <a:ext uri="{FF2B5EF4-FFF2-40B4-BE49-F238E27FC236}">
                  <a16:creationId xmlns:a16="http://schemas.microsoft.com/office/drawing/2014/main" id="{00000000-0008-0000-0800-000040000000}"/>
                </a:ext>
              </a:extLst>
            </xdr:cNvPr>
            <xdr:cNvSpPr/>
          </xdr:nvSpPr>
          <xdr:spPr>
            <a:xfrm>
              <a:off x="1047750" y="190500"/>
              <a:ext cx="1047750" cy="381000"/>
            </a:xfrm>
            <a:prstGeom prst="rect">
              <a:avLst/>
            </a:prstGeom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n-GB" sz="2800" b="1">
                  <a:solidFill>
                    <a:sysClr val="windowText" lastClr="000000"/>
                  </a:solidFill>
                </a:rPr>
                <a:t>KO</a:t>
              </a:r>
            </a:p>
          </xdr:txBody>
        </xdr:sp>
        <xdr:sp macro="" textlink="Knockout.concat">
          <xdr:nvSpPr>
            <xdr:cNvPr id="65" name="Rectangle 64">
              <a:extLst>
                <a:ext uri="{FF2B5EF4-FFF2-40B4-BE49-F238E27FC236}">
                  <a16:creationId xmlns:a16="http://schemas.microsoft.com/office/drawing/2014/main" id="{00000000-0008-0000-0800-000041000000}"/>
                </a:ext>
              </a:extLst>
            </xdr:cNvPr>
            <xdr:cNvSpPr/>
          </xdr:nvSpPr>
          <xdr:spPr>
            <a:xfrm>
              <a:off x="1047750" y="571500"/>
              <a:ext cx="1047750" cy="990600"/>
            </a:xfrm>
            <a:prstGeom prst="rect">
              <a:avLst/>
            </a:prstGeom>
            <a:solidFill>
              <a:schemeClr val="accent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EAD2FD44-A680-4D7F-A5EC-719F9EBE7A55}" type="TxLink">
                <a:rPr lang="fa-IR" sz="1100" b="0" i="0" u="none" strike="noStrike">
                  <a:solidFill>
                    <a:schemeClr val="bg1"/>
                  </a:solidFill>
                  <a:latin typeface="Arial"/>
                  <a:cs typeface="Arial"/>
                </a:rPr>
                <a:pPr algn="ctr"/>
                <a:t>مرحله حذفی</a:t>
              </a:fld>
              <a:endParaRPr lang="en-US" sz="1200" b="0" i="0" u="none" strike="noStrike">
                <a:solidFill>
                  <a:schemeClr val="bg1"/>
                </a:solidFill>
                <a:latin typeface="+mn-lt"/>
                <a:cs typeface="Calibri"/>
              </a:endParaRP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000000-0008-0000-0800-000042000000}"/>
                </a:ext>
              </a:extLst>
            </xdr:cNvPr>
            <xdr:cNvCxnSpPr/>
          </xdr:nvCxnSpPr>
          <xdr:spPr>
            <a:xfrm>
              <a:off x="1047750" y="571500"/>
              <a:ext cx="1047750" cy="0"/>
            </a:xfrm>
            <a:prstGeom prst="line">
              <a:avLst/>
            </a:prstGeom>
            <a:ln w="190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ables/table1.xml><?xml version="1.0" encoding="utf-8"?>
<table xmlns="http://schemas.openxmlformats.org/spreadsheetml/2006/main" id="1" name="GamesTable" displayName="GamesTable" ref="A1:L49" totalsRowShown="0">
  <tableColumns count="12">
    <tableColumn id="2" name="No" dataDxfId="14"/>
    <tableColumn id="8" name="Day" dataDxfId="13"/>
    <tableColumn id="3" name="Date" dataDxfId="12"/>
    <tableColumn id="4" name="Venue"/>
    <tableColumn id="5" name="Team1.English"/>
    <tableColumn id="6" name="Team2English"/>
    <tableColumn id="7" name="Group" dataDxfId="11"/>
    <tableColumn id="9" name="MatchNum" dataDxfId="10">
      <calculatedColumnFormula xml:space="preserve"> GamesTable[[#This Row],[Group]] &amp; COUNTIFS(GamesTable[Group],GamesTable[[#This Row],[Group]],GamesTable[No],"&lt;="&amp;GamesTable[[#This Row],[No]])</calculatedColumnFormula>
    </tableColumn>
    <tableColumn id="10" name="Team1Num" dataDxfId="9">
      <calculatedColumnFormula xml:space="preserve"> MATCH(GamesTable[[#This Row],[Team1.English]], CountryLists[English], 0 )</calculatedColumnFormula>
    </tableColumn>
    <tableColumn id="11" name="Team2Num" dataDxfId="8">
      <calculatedColumnFormula xml:space="preserve"> MATCH( GamesTable[[#This Row],[Team2English]], CountryLists[English], 0 )</calculatedColumnFormula>
    </tableColumn>
    <tableColumn id="1" name="Team1" dataDxfId="7">
      <calculatedColumnFormula xml:space="preserve"> INDEX(CountryName.Loc,GamesTable[[#This Row],[Team1Num]])</calculatedColumnFormula>
    </tableColumn>
    <tableColumn id="12" name="Team2" dataDxfId="6">
      <calculatedColumnFormula xml:space="preserve"> INDEX(CountryName.Loc,GamesTable[[#This Row],[Team2Num]])</calculatedColumn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O1:P8" totalsRowShown="0" headerRowDxfId="5" dataDxfId="4">
  <tableColumns count="2">
    <tableColumn id="1" name="Week Day" dataDxfId="3"/>
    <tableColumn id="2" name="Day" dataDxfId="2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CountryLists" displayName="CountryLists" ref="B31:J72" totalsRowShown="0">
  <tableColumns count="9">
    <tableColumn id="3" name="English"/>
    <tableColumn id="9" name="فارسی"/>
    <tableColumn id="4" name="Français"/>
    <tableColumn id="5" name="Deutsch"/>
    <tableColumn id="6" name="Español"/>
    <tableColumn id="7" name="русский" dataDxfId="1"/>
    <tableColumn id="8" name="Ελληνικά"/>
    <tableColumn id="1" name="中文" dataDxfId="0"/>
    <tableColumn id="2" name="عربى"/>
  </tableColumns>
  <tableStyleInfo name="TableStyleMedium1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image" Target="../media/image3.jpeg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image" Target="../media/image3.jpe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image" Target="../media/image3.jpeg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image" Target="../media/image3.jpeg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image" Target="../media/image3.jpeg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image" Target="../media/image3.jpeg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image" Target="../media/image3.jpeg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image" Target="../media/image3.jpeg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image" Target="../media/image3.jpe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  <pageSetUpPr fitToPage="1"/>
  </sheetPr>
  <dimension ref="A1:Q26"/>
  <sheetViews>
    <sheetView showGridLines="0" showRowColHeaders="0" tabSelected="1" zoomScale="120" zoomScaleNormal="120" workbookViewId="0">
      <selection activeCell="G2" sqref="G2"/>
    </sheetView>
  </sheetViews>
  <sheetFormatPr defaultColWidth="0" defaultRowHeight="13.8" zeroHeight="1" x14ac:dyDescent="0.25"/>
  <cols>
    <col min="1" max="11" width="9.09765625" style="23" customWidth="1"/>
    <col min="12" max="16" width="9.09765625" style="23" hidden="1" customWidth="1"/>
    <col min="17" max="17" width="12.59765625" style="23" hidden="1" customWidth="1"/>
    <col min="18" max="16384" width="9.09765625" style="23" hidden="1"/>
  </cols>
  <sheetData>
    <row r="1" spans="1:11" s="150" customFormat="1" ht="14.4" thickBot="1" x14ac:dyDescent="0.3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s="150" customFormat="1" ht="14.4" thickBot="1" x14ac:dyDescent="0.3">
      <c r="A2" s="149"/>
      <c r="B2" s="151"/>
      <c r="C2" s="149"/>
      <c r="D2" s="149"/>
      <c r="E2" s="153" t="s">
        <v>460</v>
      </c>
      <c r="F2" s="154"/>
      <c r="G2" s="148" t="s">
        <v>481</v>
      </c>
      <c r="H2" s="149"/>
      <c r="I2" s="149"/>
      <c r="J2" s="149"/>
      <c r="K2" s="149"/>
    </row>
    <row r="3" spans="1:11" s="150" customFormat="1" x14ac:dyDescent="0.25">
      <c r="A3" s="152"/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1" s="150" customFormat="1" x14ac:dyDescent="0.2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1" s="150" customFormat="1" x14ac:dyDescent="0.2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</row>
    <row r="6" spans="1:11" s="150" customFormat="1" x14ac:dyDescent="0.2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1" s="150" customFormat="1" x14ac:dyDescent="0.25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</row>
    <row r="8" spans="1:11" s="150" customFormat="1" x14ac:dyDescent="0.25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</row>
    <row r="9" spans="1:11" s="150" customFormat="1" x14ac:dyDescent="0.25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</row>
    <row r="10" spans="1:11" s="150" customFormat="1" x14ac:dyDescent="0.25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</row>
    <row r="11" spans="1:11" s="150" customFormat="1" x14ac:dyDescent="0.2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</row>
    <row r="12" spans="1:11" s="150" customFormat="1" x14ac:dyDescent="0.25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</row>
    <row r="13" spans="1:11" s="150" customFormat="1" x14ac:dyDescent="0.25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</row>
    <row r="14" spans="1:11" s="150" customFormat="1" x14ac:dyDescent="0.25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</row>
    <row r="15" spans="1:11" s="150" customFormat="1" x14ac:dyDescent="0.25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</row>
    <row r="16" spans="1:11" s="150" customFormat="1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</row>
    <row r="17" spans="1:11" s="150" customFormat="1" x14ac:dyDescent="0.25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</row>
    <row r="18" spans="1:11" s="150" customFormat="1" x14ac:dyDescent="0.25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</row>
    <row r="19" spans="1:11" s="150" customFormat="1" x14ac:dyDescent="0.25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1" s="150" customFormat="1" x14ac:dyDescent="0.25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1" s="150" customFormat="1" x14ac:dyDescent="0.25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</row>
    <row r="22" spans="1:11" hidden="1" x14ac:dyDescent="0.25"/>
    <row r="23" spans="1:11" hidden="1" x14ac:dyDescent="0.25"/>
    <row r="24" spans="1:11" hidden="1" x14ac:dyDescent="0.25"/>
    <row r="25" spans="1:11" hidden="1" x14ac:dyDescent="0.25"/>
    <row r="26" spans="1:11" hidden="1" x14ac:dyDescent="0.25"/>
  </sheetData>
  <sheetProtection sheet="1" objects="1" scenarios="1" selectLockedCells="1"/>
  <mergeCells count="1">
    <mergeCell ref="E2:F2"/>
  </mergeCells>
  <dataValidations count="1">
    <dataValidation type="list" allowBlank="1" showInputMessage="1" showErrorMessage="1" sqref="G2">
      <formula1>language</formula1>
    </dataValidation>
  </dataValidations>
  <printOptions horizontalCentered="1" verticalCentered="1"/>
  <pageMargins left="0.70866141732283472" right="0.70866141732283472" top="0.55118110236220474" bottom="0.55118110236220474" header="0" footer="0"/>
  <pageSetup paperSize="9" scale="87" orientation="landscape" r:id="rId1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V73"/>
  <sheetViews>
    <sheetView showGridLines="0" showRowColHeaders="0" zoomScaleNormal="100" workbookViewId="0">
      <pane ySplit="1" topLeftCell="A2" activePane="bottomLeft" state="frozen"/>
      <selection activeCell="G7" sqref="G7"/>
      <selection pane="bottomLeft" activeCell="Q45" sqref="Q45:Q47"/>
    </sheetView>
  </sheetViews>
  <sheetFormatPr defaultColWidth="0" defaultRowHeight="13.8" zeroHeight="1" x14ac:dyDescent="0.25"/>
  <cols>
    <col min="1" max="1" width="9.09765625" customWidth="1"/>
    <col min="2" max="2" width="13.69921875" customWidth="1"/>
    <col min="3" max="3" width="6.8984375" customWidth="1"/>
    <col min="4" max="4" width="5.09765625" customWidth="1"/>
    <col min="5" max="5" width="2.8984375" customWidth="1"/>
    <col min="6" max="6" width="13.69921875" customWidth="1"/>
    <col min="7" max="7" width="6.8984375" customWidth="1"/>
    <col min="8" max="8" width="5.09765625" customWidth="1"/>
    <col min="9" max="9" width="2.8984375" customWidth="1"/>
    <col min="10" max="10" width="13.69921875" customWidth="1"/>
    <col min="11" max="11" width="6.8984375" customWidth="1"/>
    <col min="12" max="12" width="5.09765625" customWidth="1"/>
    <col min="13" max="14" width="2.8984375" customWidth="1"/>
    <col min="15" max="15" width="13.69921875" customWidth="1"/>
    <col min="16" max="16" width="6.8984375" customWidth="1"/>
    <col min="17" max="17" width="5.09765625" customWidth="1"/>
    <col min="18" max="18" width="9.09765625" customWidth="1"/>
    <col min="19" max="19" width="13.8984375" customWidth="1"/>
    <col min="20" max="20" width="6.8984375" customWidth="1"/>
    <col min="21" max="21" width="9.09765625" customWidth="1"/>
    <col min="22" max="22" width="0" hidden="1" customWidth="1"/>
    <col min="23" max="16384" width="9.09765625" hidden="1"/>
  </cols>
  <sheetData>
    <row r="1" spans="1:21" ht="27" customHeight="1" x14ac:dyDescent="0.25">
      <c r="A1" s="27"/>
      <c r="B1" s="68" t="s">
        <v>85</v>
      </c>
      <c r="C1" s="69"/>
      <c r="D1" s="69"/>
      <c r="E1" s="69"/>
      <c r="F1" s="68" t="s">
        <v>81</v>
      </c>
      <c r="G1" s="69"/>
      <c r="H1" s="69"/>
      <c r="I1" s="69"/>
      <c r="J1" s="68" t="s">
        <v>80</v>
      </c>
      <c r="K1" s="69"/>
      <c r="L1" s="69"/>
      <c r="M1" s="69"/>
      <c r="N1" s="69"/>
      <c r="O1" s="68" t="s">
        <v>82</v>
      </c>
      <c r="P1" s="27"/>
      <c r="Q1" s="27"/>
      <c r="R1" s="27"/>
      <c r="S1" s="27"/>
      <c r="T1" s="27"/>
      <c r="U1" s="27"/>
    </row>
    <row r="2" spans="1:21" ht="7.5" customHeight="1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ht="7.5" customHeight="1" x14ac:dyDescent="0.25">
      <c r="A3" s="124"/>
      <c r="B3" s="155" t="str">
        <f>team.label</f>
        <v/>
      </c>
      <c r="C3" s="158" t="str">
        <f>'Group A'!Winner</f>
        <v/>
      </c>
      <c r="D3" s="16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1" ht="7.5" customHeight="1" x14ac:dyDescent="0.25">
      <c r="A4" s="124"/>
      <c r="B4" s="156"/>
      <c r="C4" s="159"/>
      <c r="D4" s="162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ht="7.5" customHeight="1" x14ac:dyDescent="0.25">
      <c r="A5" s="124"/>
      <c r="B5" s="157"/>
      <c r="C5" s="160"/>
      <c r="D5" s="163"/>
      <c r="E5" s="124"/>
      <c r="F5" s="155" t="str">
        <f xml:space="preserve"> team.label</f>
        <v/>
      </c>
      <c r="G5" s="158">
        <f xml:space="preserve">  IF( KO.FR.score1=KO.FR.score2, 33, IF( KO.FR.score1&gt;KO.FR.score2, KO.FR.team1, KO.FR.team2 ) )</f>
        <v>33</v>
      </c>
      <c r="H5" s="161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7.5" customHeight="1" x14ac:dyDescent="0.25">
      <c r="A6" s="124"/>
      <c r="B6" s="124"/>
      <c r="C6" s="124"/>
      <c r="D6" s="124"/>
      <c r="E6" s="124"/>
      <c r="F6" s="156"/>
      <c r="G6" s="159"/>
      <c r="H6" s="162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</row>
    <row r="7" spans="1:21" ht="7.5" customHeight="1" x14ac:dyDescent="0.25">
      <c r="A7" s="124"/>
      <c r="B7" s="155" t="str">
        <f>team.label</f>
        <v/>
      </c>
      <c r="C7" s="158" t="str">
        <f>'Group B'!RunnerUp</f>
        <v/>
      </c>
      <c r="D7" s="161"/>
      <c r="E7" s="124"/>
      <c r="F7" s="157"/>
      <c r="G7" s="160"/>
      <c r="H7" s="163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1" ht="7.5" customHeight="1" x14ac:dyDescent="0.25">
      <c r="A8" s="124"/>
      <c r="B8" s="156"/>
      <c r="C8" s="159"/>
      <c r="D8" s="162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1" ht="7.5" customHeight="1" x14ac:dyDescent="0.25">
      <c r="A9" s="124"/>
      <c r="B9" s="157"/>
      <c r="C9" s="160"/>
      <c r="D9" s="163"/>
      <c r="E9" s="124"/>
      <c r="F9" s="124"/>
      <c r="G9" s="124"/>
      <c r="H9" s="124"/>
      <c r="I9" s="124"/>
      <c r="J9" s="155" t="str">
        <f>team.label</f>
        <v/>
      </c>
      <c r="K9" s="158">
        <f xml:space="preserve">  IF( KO.QF.score1=KO.QF.score2, 33, IF( KO.QF.score1&gt;KO.QF.score2, KO.QF.team1, KO.QF.team2 ) )</f>
        <v>33</v>
      </c>
      <c r="L9" s="161"/>
      <c r="M9" s="124"/>
      <c r="N9" s="124"/>
      <c r="O9" s="171" t="s">
        <v>76</v>
      </c>
      <c r="P9" s="171"/>
      <c r="Q9" s="171"/>
      <c r="R9" s="124"/>
      <c r="S9" s="124"/>
      <c r="T9" s="124"/>
      <c r="U9" s="124"/>
    </row>
    <row r="10" spans="1:21" ht="7.5" customHeight="1" x14ac:dyDescent="0.25">
      <c r="A10" s="124"/>
      <c r="B10" s="124"/>
      <c r="C10" s="124"/>
      <c r="D10" s="124"/>
      <c r="E10" s="124"/>
      <c r="F10" s="124"/>
      <c r="G10" s="124"/>
      <c r="H10" s="124"/>
      <c r="I10" s="124"/>
      <c r="J10" s="156"/>
      <c r="K10" s="159"/>
      <c r="L10" s="162"/>
      <c r="M10" s="124"/>
      <c r="N10" s="124"/>
      <c r="O10" s="171"/>
      <c r="P10" s="171"/>
      <c r="Q10" s="171"/>
      <c r="R10" s="124"/>
      <c r="S10" s="124"/>
      <c r="T10" s="124"/>
      <c r="U10" s="124"/>
    </row>
    <row r="11" spans="1:21" ht="7.5" customHeight="1" x14ac:dyDescent="0.25">
      <c r="A11" s="124"/>
      <c r="B11" s="155" t="str">
        <f>team.label</f>
        <v/>
      </c>
      <c r="C11" s="158" t="str">
        <f xml:space="preserve"> 'Group C'!Winner</f>
        <v/>
      </c>
      <c r="D11" s="161"/>
      <c r="E11" s="124"/>
      <c r="F11" s="124"/>
      <c r="G11" s="124"/>
      <c r="H11" s="124"/>
      <c r="I11" s="124"/>
      <c r="J11" s="157"/>
      <c r="K11" s="160"/>
      <c r="L11" s="163"/>
      <c r="M11" s="124"/>
      <c r="N11" s="124"/>
      <c r="O11" s="171"/>
      <c r="P11" s="171"/>
      <c r="Q11" s="171"/>
      <c r="R11" s="124"/>
      <c r="S11" s="124"/>
      <c r="T11" s="124"/>
      <c r="U11" s="124"/>
    </row>
    <row r="12" spans="1:21" ht="7.5" customHeight="1" x14ac:dyDescent="0.25">
      <c r="A12" s="124"/>
      <c r="B12" s="156"/>
      <c r="C12" s="159"/>
      <c r="D12" s="162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</row>
    <row r="13" spans="1:21" ht="7.5" customHeight="1" x14ac:dyDescent="0.25">
      <c r="A13" s="124"/>
      <c r="B13" s="157"/>
      <c r="C13" s="160"/>
      <c r="D13" s="163"/>
      <c r="E13" s="124"/>
      <c r="F13" s="155" t="str">
        <f>team.label</f>
        <v/>
      </c>
      <c r="G13" s="158">
        <f xml:space="preserve">  IF( KO.FR.score1=KO.FR.score2, 33, IF( KO.FR.score1&gt;KO.FR.score2, KO.FR.team1, KO.FR.team2 ) )</f>
        <v>33</v>
      </c>
      <c r="H13" s="161"/>
      <c r="I13" s="124"/>
      <c r="J13" s="124"/>
      <c r="K13" s="124"/>
      <c r="L13" s="124"/>
      <c r="M13" s="124"/>
      <c r="N13" s="124"/>
      <c r="O13" s="155" t="str">
        <f>team.label</f>
        <v/>
      </c>
      <c r="P13" s="158">
        <f xml:space="preserve"> IF( KO.SF.score1=KO.SF.score2, 33, IF( KO.SF.score1&gt;KO.SF.score2, KO.SF.team1, KO.SF.team2 ) )</f>
        <v>33</v>
      </c>
      <c r="Q13" s="161"/>
      <c r="R13" s="124"/>
      <c r="S13" s="124"/>
      <c r="T13" s="124"/>
      <c r="U13" s="124"/>
    </row>
    <row r="14" spans="1:21" ht="7.5" customHeight="1" x14ac:dyDescent="0.25">
      <c r="A14" s="124"/>
      <c r="B14" s="124"/>
      <c r="C14" s="124"/>
      <c r="D14" s="124"/>
      <c r="E14" s="124"/>
      <c r="F14" s="156"/>
      <c r="G14" s="159"/>
      <c r="H14" s="162"/>
      <c r="I14" s="124"/>
      <c r="J14" s="124"/>
      <c r="K14" s="124"/>
      <c r="L14" s="124"/>
      <c r="M14" s="124"/>
      <c r="N14" s="124"/>
      <c r="O14" s="156"/>
      <c r="P14" s="159"/>
      <c r="Q14" s="162"/>
      <c r="R14" s="124"/>
      <c r="S14" s="124"/>
      <c r="T14" s="124"/>
      <c r="U14" s="124"/>
    </row>
    <row r="15" spans="1:21" ht="7.5" customHeight="1" x14ac:dyDescent="0.25">
      <c r="A15" s="124"/>
      <c r="B15" s="155" t="str">
        <f>team.label</f>
        <v/>
      </c>
      <c r="C15" s="158" t="str">
        <f>'Group D'!RunnerUp</f>
        <v/>
      </c>
      <c r="D15" s="161"/>
      <c r="E15" s="124"/>
      <c r="F15" s="157"/>
      <c r="G15" s="160"/>
      <c r="H15" s="163"/>
      <c r="I15" s="124"/>
      <c r="J15" s="124"/>
      <c r="K15" s="124"/>
      <c r="L15" s="124"/>
      <c r="M15" s="124"/>
      <c r="N15" s="124"/>
      <c r="O15" s="157"/>
      <c r="P15" s="160"/>
      <c r="Q15" s="163"/>
      <c r="R15" s="124"/>
      <c r="S15" s="124"/>
      <c r="T15" s="124"/>
      <c r="U15" s="124"/>
    </row>
    <row r="16" spans="1:21" ht="7.5" customHeight="1" x14ac:dyDescent="0.25">
      <c r="A16" s="124"/>
      <c r="B16" s="156"/>
      <c r="C16" s="159"/>
      <c r="D16" s="162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</row>
    <row r="17" spans="1:21" ht="7.5" customHeight="1" x14ac:dyDescent="0.25">
      <c r="A17" s="124"/>
      <c r="B17" s="157"/>
      <c r="C17" s="160"/>
      <c r="D17" s="163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70" t="s">
        <v>338</v>
      </c>
      <c r="T17" s="170"/>
      <c r="U17" s="124"/>
    </row>
    <row r="18" spans="1:21" ht="7.5" customHeight="1" x14ac:dyDescent="0.25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70"/>
      <c r="T18" s="170"/>
      <c r="U18" s="124"/>
    </row>
    <row r="19" spans="1:21" ht="7.5" customHeight="1" x14ac:dyDescent="0.25">
      <c r="A19" s="124"/>
      <c r="B19" s="155" t="str">
        <f>team.label</f>
        <v/>
      </c>
      <c r="C19" s="158" t="str">
        <f xml:space="preserve"> 'Group E'!Winner</f>
        <v/>
      </c>
      <c r="D19" s="161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70"/>
      <c r="T19" s="170"/>
      <c r="U19" s="124"/>
    </row>
    <row r="20" spans="1:21" ht="7.5" customHeight="1" x14ac:dyDescent="0.25">
      <c r="A20" s="124"/>
      <c r="B20" s="156"/>
      <c r="C20" s="159"/>
      <c r="D20" s="162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</row>
    <row r="21" spans="1:21" ht="7.5" customHeight="1" x14ac:dyDescent="0.25">
      <c r="A21" s="124"/>
      <c r="B21" s="157"/>
      <c r="C21" s="160"/>
      <c r="D21" s="163"/>
      <c r="E21" s="124"/>
      <c r="F21" s="155" t="str">
        <f>team.label</f>
        <v/>
      </c>
      <c r="G21" s="158">
        <f xml:space="preserve">  IF( KO.FR.score1=KO.FR.score2, 33, IF( KO.FR.score1&gt;KO.FR.score2, KO.FR.team1, KO.FR.team2 ) )</f>
        <v>33</v>
      </c>
      <c r="H21" s="161"/>
      <c r="I21" s="124"/>
      <c r="J21" s="124"/>
      <c r="K21" s="124"/>
      <c r="L21" s="124"/>
      <c r="M21" s="124"/>
      <c r="N21" s="124"/>
      <c r="O21" s="155" t="str">
        <f>team.label</f>
        <v/>
      </c>
      <c r="P21" s="158">
        <f xml:space="preserve"> IF( KO.SF.score3=KO.SF.score4, 33, IF( KO.SF.score3&gt;KO.SF.score4, KO.SF.team3, KO.SF.team4 ) )</f>
        <v>33</v>
      </c>
      <c r="Q21" s="161"/>
      <c r="R21" s="124"/>
      <c r="S21" s="164" t="str">
        <f>team.label</f>
        <v/>
      </c>
      <c r="T21" s="167">
        <f xml:space="preserve"> IF( KO.FN.score1=KO.FN.score2, 33, IF( KO.FN.score1&gt;KO.FN.score2, KO.FN.team1, KO.FN.team2 ) )</f>
        <v>33</v>
      </c>
      <c r="U21" s="124"/>
    </row>
    <row r="22" spans="1:21" ht="7.5" customHeight="1" x14ac:dyDescent="0.25">
      <c r="A22" s="124"/>
      <c r="B22" s="124"/>
      <c r="C22" s="124"/>
      <c r="D22" s="124"/>
      <c r="E22" s="124"/>
      <c r="F22" s="156"/>
      <c r="G22" s="159"/>
      <c r="H22" s="162"/>
      <c r="I22" s="124"/>
      <c r="J22" s="124"/>
      <c r="K22" s="124"/>
      <c r="L22" s="124"/>
      <c r="M22" s="124"/>
      <c r="N22" s="124"/>
      <c r="O22" s="156"/>
      <c r="P22" s="159"/>
      <c r="Q22" s="162"/>
      <c r="R22" s="124"/>
      <c r="S22" s="165"/>
      <c r="T22" s="168"/>
      <c r="U22" s="124"/>
    </row>
    <row r="23" spans="1:21" ht="7.5" customHeight="1" x14ac:dyDescent="0.25">
      <c r="A23" s="124"/>
      <c r="B23" s="155" t="str">
        <f>team.label</f>
        <v/>
      </c>
      <c r="C23" s="158" t="str">
        <f>'Group F'!RunnerUp</f>
        <v/>
      </c>
      <c r="D23" s="161"/>
      <c r="E23" s="124"/>
      <c r="F23" s="157"/>
      <c r="G23" s="160"/>
      <c r="H23" s="163"/>
      <c r="I23" s="124"/>
      <c r="J23" s="124"/>
      <c r="K23" s="124"/>
      <c r="L23" s="124"/>
      <c r="M23" s="124"/>
      <c r="N23" s="124"/>
      <c r="O23" s="157"/>
      <c r="P23" s="160"/>
      <c r="Q23" s="163"/>
      <c r="R23" s="124"/>
      <c r="S23" s="166"/>
      <c r="T23" s="169"/>
      <c r="U23" s="124"/>
    </row>
    <row r="24" spans="1:21" ht="7.5" customHeight="1" x14ac:dyDescent="0.25">
      <c r="A24" s="124"/>
      <c r="B24" s="156"/>
      <c r="C24" s="159"/>
      <c r="D24" s="162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</row>
    <row r="25" spans="1:21" ht="7.5" customHeight="1" x14ac:dyDescent="0.25">
      <c r="A25" s="124"/>
      <c r="B25" s="157"/>
      <c r="C25" s="160"/>
      <c r="D25" s="163"/>
      <c r="E25" s="124"/>
      <c r="F25" s="124"/>
      <c r="G25" s="124"/>
      <c r="H25" s="124"/>
      <c r="I25" s="124"/>
      <c r="J25" s="155" t="str">
        <f>team.label</f>
        <v/>
      </c>
      <c r="K25" s="158">
        <f xml:space="preserve">  IF( KO.QF.score1=KO.QF.score2, 33, IF( KO.QF.score1&gt;KO.QF.score2, KO.QF.team1, KO.QF.team2 ) )</f>
        <v>33</v>
      </c>
      <c r="L25" s="161"/>
      <c r="M25" s="124"/>
      <c r="N25" s="124"/>
      <c r="O25" s="124"/>
      <c r="P25" s="124"/>
      <c r="Q25" s="124"/>
      <c r="R25" s="124"/>
      <c r="S25" s="170" t="s">
        <v>77</v>
      </c>
      <c r="T25" s="170"/>
      <c r="U25" s="124"/>
    </row>
    <row r="26" spans="1:21" ht="7.5" customHeight="1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56"/>
      <c r="K26" s="159"/>
      <c r="L26" s="162"/>
      <c r="M26" s="124"/>
      <c r="N26" s="124"/>
      <c r="O26" s="124"/>
      <c r="P26" s="124"/>
      <c r="Q26" s="124"/>
      <c r="R26" s="124"/>
      <c r="S26" s="170"/>
      <c r="T26" s="170"/>
      <c r="U26" s="124"/>
    </row>
    <row r="27" spans="1:21" ht="7.5" customHeight="1" x14ac:dyDescent="0.25">
      <c r="A27" s="124"/>
      <c r="B27" s="155" t="str">
        <f>team.label</f>
        <v/>
      </c>
      <c r="C27" s="158" t="str">
        <f xml:space="preserve"> 'Group G'!Winner</f>
        <v/>
      </c>
      <c r="D27" s="161"/>
      <c r="E27" s="124"/>
      <c r="F27" s="124"/>
      <c r="G27" s="124"/>
      <c r="H27" s="124"/>
      <c r="I27" s="124"/>
      <c r="J27" s="157"/>
      <c r="K27" s="160"/>
      <c r="L27" s="163"/>
      <c r="M27" s="124"/>
      <c r="N27" s="124"/>
      <c r="O27" s="124"/>
      <c r="P27" s="124"/>
      <c r="Q27" s="124"/>
      <c r="R27" s="124"/>
      <c r="S27" s="170"/>
      <c r="T27" s="170"/>
      <c r="U27" s="124"/>
    </row>
    <row r="28" spans="1:21" ht="7.5" customHeight="1" x14ac:dyDescent="0.25">
      <c r="A28" s="124"/>
      <c r="B28" s="156"/>
      <c r="C28" s="159"/>
      <c r="D28" s="162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</row>
    <row r="29" spans="1:21" ht="7.5" customHeight="1" x14ac:dyDescent="0.25">
      <c r="A29" s="124"/>
      <c r="B29" s="157"/>
      <c r="C29" s="160"/>
      <c r="D29" s="163"/>
      <c r="E29" s="124"/>
      <c r="F29" s="155" t="str">
        <f>team.label</f>
        <v/>
      </c>
      <c r="G29" s="158">
        <f xml:space="preserve">  IF( KO.FR.score1=KO.FR.score2, 33, IF( KO.FR.score1&gt;KO.FR.score2, KO.FR.team1, KO.FR.team2 ) )</f>
        <v>33</v>
      </c>
      <c r="H29" s="161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64" t="str">
        <f>team.label</f>
        <v/>
      </c>
      <c r="T29" s="167">
        <f xml:space="preserve"> IF( KO.FN.score1=KO.FN.score2, 33, IF( KO.FN.score1&lt;KO.FN.score2, KO.FN.team1, KO.FN.team2 ) )</f>
        <v>33</v>
      </c>
      <c r="U29" s="124"/>
    </row>
    <row r="30" spans="1:21" ht="7.5" customHeight="1" x14ac:dyDescent="0.25">
      <c r="A30" s="124"/>
      <c r="B30" s="124"/>
      <c r="C30" s="124"/>
      <c r="D30" s="124"/>
      <c r="E30" s="124"/>
      <c r="F30" s="156"/>
      <c r="G30" s="159"/>
      <c r="H30" s="162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65"/>
      <c r="T30" s="168"/>
      <c r="U30" s="124"/>
    </row>
    <row r="31" spans="1:21" ht="7.5" customHeight="1" x14ac:dyDescent="0.25">
      <c r="A31" s="124"/>
      <c r="B31" s="155" t="str">
        <f>team.label</f>
        <v/>
      </c>
      <c r="C31" s="158" t="str">
        <f>'Group H'!RunnerUp</f>
        <v/>
      </c>
      <c r="D31" s="161"/>
      <c r="E31" s="124"/>
      <c r="F31" s="157"/>
      <c r="G31" s="160"/>
      <c r="H31" s="163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66"/>
      <c r="T31" s="169"/>
      <c r="U31" s="124"/>
    </row>
    <row r="32" spans="1:21" ht="7.5" customHeight="1" x14ac:dyDescent="0.25">
      <c r="A32" s="124"/>
      <c r="B32" s="156"/>
      <c r="C32" s="159"/>
      <c r="D32" s="162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</row>
    <row r="33" spans="1:21" ht="7.5" customHeight="1" x14ac:dyDescent="0.25">
      <c r="A33" s="124"/>
      <c r="B33" s="157"/>
      <c r="C33" s="160"/>
      <c r="D33" s="163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71" t="s">
        <v>78</v>
      </c>
      <c r="T33" s="171"/>
      <c r="U33" s="124"/>
    </row>
    <row r="34" spans="1:21" ht="7.5" customHeight="1" x14ac:dyDescent="0.25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71"/>
      <c r="T34" s="171"/>
      <c r="U34" s="124"/>
    </row>
    <row r="35" spans="1:21" ht="7.5" customHeight="1" x14ac:dyDescent="0.25">
      <c r="A35" s="124"/>
      <c r="B35" s="155" t="str">
        <f>team.label</f>
        <v/>
      </c>
      <c r="C35" s="158" t="str">
        <f xml:space="preserve"> 'Group B'!Winner</f>
        <v/>
      </c>
      <c r="D35" s="161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71"/>
      <c r="T35" s="171"/>
      <c r="U35" s="124"/>
    </row>
    <row r="36" spans="1:21" ht="7.5" customHeight="1" x14ac:dyDescent="0.25">
      <c r="A36" s="124"/>
      <c r="B36" s="156"/>
      <c r="C36" s="159"/>
      <c r="D36" s="162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</row>
    <row r="37" spans="1:21" ht="7.5" customHeight="1" x14ac:dyDescent="0.25">
      <c r="A37" s="124"/>
      <c r="B37" s="157"/>
      <c r="C37" s="160"/>
      <c r="D37" s="163"/>
      <c r="E37" s="124"/>
      <c r="F37" s="155" t="str">
        <f>team.label</f>
        <v/>
      </c>
      <c r="G37" s="158">
        <f xml:space="preserve">  IF( KO.FR.score1=KO.FR.score2, 33, IF( KO.FR.score1&gt;KO.FR.score2, KO.FR.team1, KO.FR.team2 ) )</f>
        <v>33</v>
      </c>
      <c r="H37" s="161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64" t="str">
        <f>team.label</f>
        <v/>
      </c>
      <c r="T37" s="167">
        <f xml:space="preserve"> IF( KO.LF.score1=KO.LF.score2, 33, IF( KO.LF.score1&gt;KO.LF.score2, KO.LF.team1, KO.LF.team2 ) )</f>
        <v>33</v>
      </c>
      <c r="U37" s="124"/>
    </row>
    <row r="38" spans="1:21" ht="7.5" customHeight="1" x14ac:dyDescent="0.25">
      <c r="A38" s="124"/>
      <c r="B38" s="124"/>
      <c r="C38" s="124"/>
      <c r="D38" s="124"/>
      <c r="E38" s="124"/>
      <c r="F38" s="156"/>
      <c r="G38" s="159"/>
      <c r="H38" s="162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65"/>
      <c r="T38" s="168"/>
      <c r="U38" s="124"/>
    </row>
    <row r="39" spans="1:21" ht="7.5" customHeight="1" x14ac:dyDescent="0.25">
      <c r="A39" s="124"/>
      <c r="B39" s="155" t="str">
        <f>team.label</f>
        <v/>
      </c>
      <c r="C39" s="158" t="str">
        <f>'Group A'!RunnerUp</f>
        <v/>
      </c>
      <c r="D39" s="161"/>
      <c r="E39" s="124"/>
      <c r="F39" s="157"/>
      <c r="G39" s="160"/>
      <c r="H39" s="163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66"/>
      <c r="T39" s="169"/>
      <c r="U39" s="124"/>
    </row>
    <row r="40" spans="1:21" ht="7.5" customHeight="1" x14ac:dyDescent="0.25">
      <c r="A40" s="124"/>
      <c r="B40" s="156"/>
      <c r="C40" s="159"/>
      <c r="D40" s="162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</row>
    <row r="41" spans="1:21" ht="7.5" customHeight="1" x14ac:dyDescent="0.25">
      <c r="A41" s="124"/>
      <c r="B41" s="157"/>
      <c r="C41" s="160"/>
      <c r="D41" s="163"/>
      <c r="E41" s="124"/>
      <c r="F41" s="124"/>
      <c r="G41" s="124"/>
      <c r="H41" s="124"/>
      <c r="I41" s="124"/>
      <c r="J41" s="155" t="str">
        <f>team.label</f>
        <v/>
      </c>
      <c r="K41" s="158">
        <f xml:space="preserve">  IF( KO.QF.score1=KO.QF.score2, 33, IF( KO.QF.score1&gt;KO.QF.score2, KO.QF.team1, KO.QF.team2 ) )</f>
        <v>33</v>
      </c>
      <c r="L41" s="161"/>
      <c r="M41" s="124"/>
      <c r="N41" s="124"/>
      <c r="O41" s="171" t="s">
        <v>86</v>
      </c>
      <c r="P41" s="171"/>
      <c r="Q41" s="171"/>
      <c r="R41" s="124"/>
      <c r="S41" s="171" t="s">
        <v>79</v>
      </c>
      <c r="T41" s="171"/>
      <c r="U41" s="124"/>
    </row>
    <row r="42" spans="1:21" ht="7.5" customHeight="1" x14ac:dyDescent="0.25">
      <c r="A42" s="124"/>
      <c r="B42" s="124"/>
      <c r="C42" s="124"/>
      <c r="D42" s="124"/>
      <c r="E42" s="124"/>
      <c r="F42" s="124"/>
      <c r="G42" s="124"/>
      <c r="H42" s="124"/>
      <c r="I42" s="124"/>
      <c r="J42" s="156"/>
      <c r="K42" s="159"/>
      <c r="L42" s="162"/>
      <c r="M42" s="124"/>
      <c r="N42" s="124"/>
      <c r="O42" s="171"/>
      <c r="P42" s="171"/>
      <c r="Q42" s="171"/>
      <c r="R42" s="124"/>
      <c r="S42" s="171"/>
      <c r="T42" s="171"/>
      <c r="U42" s="124"/>
    </row>
    <row r="43" spans="1:21" ht="7.5" customHeight="1" x14ac:dyDescent="0.25">
      <c r="A43" s="124"/>
      <c r="B43" s="155" t="str">
        <f>team.label</f>
        <v/>
      </c>
      <c r="C43" s="158" t="str">
        <f xml:space="preserve"> 'Group D'!Winner</f>
        <v/>
      </c>
      <c r="D43" s="161"/>
      <c r="E43" s="124"/>
      <c r="F43" s="124"/>
      <c r="G43" s="124"/>
      <c r="H43" s="124"/>
      <c r="I43" s="124"/>
      <c r="J43" s="157"/>
      <c r="K43" s="160"/>
      <c r="L43" s="163"/>
      <c r="M43" s="124"/>
      <c r="N43" s="124"/>
      <c r="O43" s="171"/>
      <c r="P43" s="171"/>
      <c r="Q43" s="171"/>
      <c r="R43" s="124"/>
      <c r="S43" s="171"/>
      <c r="T43" s="171"/>
      <c r="U43" s="124"/>
    </row>
    <row r="44" spans="1:21" ht="7.5" customHeight="1" x14ac:dyDescent="0.25">
      <c r="A44" s="124"/>
      <c r="B44" s="156"/>
      <c r="C44" s="159"/>
      <c r="D44" s="162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</row>
    <row r="45" spans="1:21" ht="7.5" customHeight="1" x14ac:dyDescent="0.25">
      <c r="A45" s="124"/>
      <c r="B45" s="157"/>
      <c r="C45" s="160"/>
      <c r="D45" s="163"/>
      <c r="E45" s="124"/>
      <c r="F45" s="155" t="str">
        <f>team.label</f>
        <v/>
      </c>
      <c r="G45" s="158">
        <f xml:space="preserve">  IF( KO.FR.score1=KO.FR.score2, 33, IF( KO.FR.score1&gt;KO.FR.score2, KO.FR.team1, KO.FR.team2 ) )</f>
        <v>33</v>
      </c>
      <c r="H45" s="161"/>
      <c r="I45" s="124"/>
      <c r="J45" s="124"/>
      <c r="K45" s="124"/>
      <c r="L45" s="124"/>
      <c r="M45" s="124"/>
      <c r="N45" s="124"/>
      <c r="O45" s="155" t="str">
        <f>team.label</f>
        <v/>
      </c>
      <c r="P45" s="158">
        <f xml:space="preserve"> IF( KO.SF.score1=KO.SF.score2, 33, IF( KO.SF.score1&lt;KO.SF.score2, KO.SF.team1, KO.SF.team2 ) )</f>
        <v>33</v>
      </c>
      <c r="Q45" s="161"/>
      <c r="R45" s="124"/>
      <c r="S45" s="164" t="str">
        <f>team.label</f>
        <v/>
      </c>
      <c r="T45" s="167">
        <f xml:space="preserve"> IF( KO.LF.score1=KO.LF.score2, 33, IF( KO.LF.score1&lt;KO.LF.score2, KO.LF.team1, KO.LF.team2 ) )</f>
        <v>33</v>
      </c>
      <c r="U45" s="124"/>
    </row>
    <row r="46" spans="1:21" ht="7.5" customHeight="1" x14ac:dyDescent="0.25">
      <c r="A46" s="124"/>
      <c r="B46" s="124"/>
      <c r="C46" s="124"/>
      <c r="D46" s="124"/>
      <c r="E46" s="124"/>
      <c r="F46" s="156"/>
      <c r="G46" s="159"/>
      <c r="H46" s="162"/>
      <c r="I46" s="124"/>
      <c r="J46" s="124"/>
      <c r="K46" s="124"/>
      <c r="L46" s="124"/>
      <c r="M46" s="124"/>
      <c r="N46" s="124"/>
      <c r="O46" s="156"/>
      <c r="P46" s="159"/>
      <c r="Q46" s="162"/>
      <c r="R46" s="124"/>
      <c r="S46" s="165"/>
      <c r="T46" s="168"/>
      <c r="U46" s="124"/>
    </row>
    <row r="47" spans="1:21" ht="7.5" customHeight="1" x14ac:dyDescent="0.25">
      <c r="A47" s="124"/>
      <c r="B47" s="155" t="str">
        <f>team.label</f>
        <v/>
      </c>
      <c r="C47" s="158" t="str">
        <f>'Group C'!RunnerUp</f>
        <v/>
      </c>
      <c r="D47" s="161"/>
      <c r="E47" s="124"/>
      <c r="F47" s="157"/>
      <c r="G47" s="160"/>
      <c r="H47" s="163"/>
      <c r="I47" s="124"/>
      <c r="J47" s="124"/>
      <c r="K47" s="124"/>
      <c r="L47" s="124"/>
      <c r="M47" s="124"/>
      <c r="N47" s="124"/>
      <c r="O47" s="157"/>
      <c r="P47" s="160"/>
      <c r="Q47" s="163"/>
      <c r="R47" s="124"/>
      <c r="S47" s="166"/>
      <c r="T47" s="169"/>
      <c r="U47" s="124"/>
    </row>
    <row r="48" spans="1:21" ht="7.5" customHeight="1" x14ac:dyDescent="0.25">
      <c r="A48" s="124"/>
      <c r="B48" s="156"/>
      <c r="C48" s="159"/>
      <c r="D48" s="162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</row>
    <row r="49" spans="1:21" ht="7.5" customHeight="1" x14ac:dyDescent="0.25">
      <c r="A49" s="124"/>
      <c r="B49" s="157"/>
      <c r="C49" s="160"/>
      <c r="D49" s="163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</row>
    <row r="50" spans="1:21" ht="7.5" customHeight="1" x14ac:dyDescent="0.25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</row>
    <row r="51" spans="1:21" ht="7.5" customHeight="1" x14ac:dyDescent="0.25">
      <c r="A51" s="124"/>
      <c r="B51" s="155" t="str">
        <f>team.label</f>
        <v/>
      </c>
      <c r="C51" s="158" t="str">
        <f xml:space="preserve"> 'Group F'!Winner</f>
        <v/>
      </c>
      <c r="D51" s="161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</row>
    <row r="52" spans="1:21" ht="7.5" customHeight="1" x14ac:dyDescent="0.25">
      <c r="A52" s="124"/>
      <c r="B52" s="156"/>
      <c r="C52" s="159"/>
      <c r="D52" s="162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</row>
    <row r="53" spans="1:21" ht="7.5" customHeight="1" x14ac:dyDescent="0.25">
      <c r="A53" s="124"/>
      <c r="B53" s="157"/>
      <c r="C53" s="160"/>
      <c r="D53" s="163"/>
      <c r="E53" s="124"/>
      <c r="F53" s="155" t="str">
        <f>team.label</f>
        <v/>
      </c>
      <c r="G53" s="158">
        <f xml:space="preserve">  IF( KO.FR.score1=KO.FR.score2, 33, IF( KO.FR.score1&gt;KO.FR.score2, KO.FR.team1, KO.FR.team2 ) )</f>
        <v>33</v>
      </c>
      <c r="H53" s="161"/>
      <c r="I53" s="124"/>
      <c r="J53" s="124"/>
      <c r="K53" s="124"/>
      <c r="L53" s="124"/>
      <c r="M53" s="124"/>
      <c r="N53" s="124"/>
      <c r="O53" s="155" t="str">
        <f>team.label</f>
        <v/>
      </c>
      <c r="P53" s="158">
        <f xml:space="preserve"> IF( KO.SF.score3=KO.SF.score4, 33, IF( KO.SF.score3&lt;KO.SF.score4, KO.SF.team3, KO.SF.team4 ) )</f>
        <v>33</v>
      </c>
      <c r="Q53" s="161"/>
      <c r="R53" s="124"/>
      <c r="S53" s="124"/>
      <c r="T53" s="124"/>
      <c r="U53" s="124"/>
    </row>
    <row r="54" spans="1:21" ht="7.5" customHeight="1" x14ac:dyDescent="0.25">
      <c r="A54" s="124"/>
      <c r="B54" s="124"/>
      <c r="C54" s="124"/>
      <c r="D54" s="124"/>
      <c r="E54" s="124"/>
      <c r="F54" s="156"/>
      <c r="G54" s="159"/>
      <c r="H54" s="162"/>
      <c r="I54" s="124"/>
      <c r="J54" s="124"/>
      <c r="K54" s="124"/>
      <c r="L54" s="124"/>
      <c r="M54" s="124"/>
      <c r="N54" s="124"/>
      <c r="O54" s="156"/>
      <c r="P54" s="159"/>
      <c r="Q54" s="162"/>
      <c r="R54" s="124"/>
      <c r="S54" s="124"/>
      <c r="T54" s="124"/>
      <c r="U54" s="124"/>
    </row>
    <row r="55" spans="1:21" ht="7.5" customHeight="1" x14ac:dyDescent="0.25">
      <c r="A55" s="124"/>
      <c r="B55" s="155" t="str">
        <f>team.label</f>
        <v/>
      </c>
      <c r="C55" s="158" t="str">
        <f>'Group E'!RunnerUp</f>
        <v/>
      </c>
      <c r="D55" s="161"/>
      <c r="E55" s="124"/>
      <c r="F55" s="157"/>
      <c r="G55" s="160"/>
      <c r="H55" s="163"/>
      <c r="I55" s="124"/>
      <c r="J55" s="124"/>
      <c r="K55" s="124"/>
      <c r="L55" s="124"/>
      <c r="M55" s="124"/>
      <c r="N55" s="124"/>
      <c r="O55" s="157"/>
      <c r="P55" s="160"/>
      <c r="Q55" s="163"/>
      <c r="R55" s="124"/>
      <c r="S55" s="124"/>
      <c r="T55" s="124"/>
      <c r="U55" s="124"/>
    </row>
    <row r="56" spans="1:21" ht="7.5" customHeight="1" x14ac:dyDescent="0.25">
      <c r="A56" s="124"/>
      <c r="B56" s="156"/>
      <c r="C56" s="159"/>
      <c r="D56" s="162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</row>
    <row r="57" spans="1:21" ht="7.5" customHeight="1" x14ac:dyDescent="0.25">
      <c r="A57" s="124"/>
      <c r="B57" s="157"/>
      <c r="C57" s="160"/>
      <c r="D57" s="163"/>
      <c r="E57" s="124"/>
      <c r="F57" s="124"/>
      <c r="G57" s="124"/>
      <c r="H57" s="124"/>
      <c r="I57" s="124"/>
      <c r="J57" s="155" t="str">
        <f>team.label</f>
        <v/>
      </c>
      <c r="K57" s="158">
        <f xml:space="preserve">  IF( KO.QF.score1=KO.QF.score2, 33, IF( KO.QF.score1&gt;KO.QF.score2, KO.QF.team1, KO.QF.team2 ) )</f>
        <v>33</v>
      </c>
      <c r="L57" s="161"/>
      <c r="M57" s="124"/>
      <c r="N57" s="124"/>
      <c r="O57" s="124"/>
      <c r="P57" s="124"/>
      <c r="Q57" s="124"/>
      <c r="R57" s="124"/>
      <c r="S57" s="124"/>
      <c r="T57" s="124"/>
      <c r="U57" s="124"/>
    </row>
    <row r="58" spans="1:21" ht="7.5" customHeight="1" x14ac:dyDescent="0.25">
      <c r="A58" s="124"/>
      <c r="B58" s="124"/>
      <c r="C58" s="124"/>
      <c r="D58" s="124"/>
      <c r="E58" s="124"/>
      <c r="F58" s="124"/>
      <c r="G58" s="124"/>
      <c r="H58" s="124"/>
      <c r="I58" s="124"/>
      <c r="J58" s="156"/>
      <c r="K58" s="159"/>
      <c r="L58" s="162"/>
      <c r="M58" s="124"/>
      <c r="N58" s="124"/>
      <c r="O58" s="124"/>
      <c r="P58" s="124"/>
      <c r="Q58" s="124"/>
      <c r="R58" s="124"/>
      <c r="S58" s="124"/>
      <c r="T58" s="124"/>
      <c r="U58" s="124"/>
    </row>
    <row r="59" spans="1:21" ht="7.5" customHeight="1" x14ac:dyDescent="0.25">
      <c r="A59" s="124"/>
      <c r="B59" s="155" t="str">
        <f>team.label</f>
        <v/>
      </c>
      <c r="C59" s="158" t="str">
        <f xml:space="preserve"> 'Group H'!Winner</f>
        <v/>
      </c>
      <c r="D59" s="161"/>
      <c r="E59" s="124"/>
      <c r="F59" s="124"/>
      <c r="G59" s="124"/>
      <c r="H59" s="124"/>
      <c r="I59" s="124"/>
      <c r="J59" s="157"/>
      <c r="K59" s="160"/>
      <c r="L59" s="163"/>
      <c r="M59" s="124"/>
      <c r="N59" s="124"/>
      <c r="O59" s="124"/>
      <c r="P59" s="124"/>
      <c r="Q59" s="124"/>
      <c r="R59" s="124"/>
      <c r="S59" s="124"/>
      <c r="T59" s="124"/>
      <c r="U59" s="124"/>
    </row>
    <row r="60" spans="1:21" ht="7.5" customHeight="1" x14ac:dyDescent="0.25">
      <c r="A60" s="124"/>
      <c r="B60" s="156"/>
      <c r="C60" s="159"/>
      <c r="D60" s="162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</row>
    <row r="61" spans="1:21" ht="7.5" customHeight="1" x14ac:dyDescent="0.25">
      <c r="A61" s="124"/>
      <c r="B61" s="157"/>
      <c r="C61" s="160"/>
      <c r="D61" s="163"/>
      <c r="E61" s="124"/>
      <c r="F61" s="155" t="str">
        <f>team.label</f>
        <v/>
      </c>
      <c r="G61" s="158">
        <f xml:space="preserve">  IF( KO.FR.score1=KO.FR.score2, 33, IF( KO.FR.score1&gt;KO.FR.score2, KO.FR.team1, KO.FR.team2 ) )</f>
        <v>33</v>
      </c>
      <c r="H61" s="161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</row>
    <row r="62" spans="1:21" ht="7.5" customHeight="1" x14ac:dyDescent="0.25">
      <c r="A62" s="124"/>
      <c r="B62" s="124"/>
      <c r="C62" s="124"/>
      <c r="D62" s="124"/>
      <c r="E62" s="124"/>
      <c r="F62" s="156"/>
      <c r="G62" s="159"/>
      <c r="H62" s="162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</row>
    <row r="63" spans="1:21" ht="7.5" customHeight="1" x14ac:dyDescent="0.25">
      <c r="A63" s="124"/>
      <c r="B63" s="155" t="str">
        <f>team.label</f>
        <v/>
      </c>
      <c r="C63" s="158" t="str">
        <f>'Group G'!RunnerUp</f>
        <v/>
      </c>
      <c r="D63" s="161"/>
      <c r="E63" s="124"/>
      <c r="F63" s="157"/>
      <c r="G63" s="160"/>
      <c r="H63" s="163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</row>
    <row r="64" spans="1:21" ht="7.5" customHeight="1" x14ac:dyDescent="0.25">
      <c r="A64" s="124"/>
      <c r="B64" s="156"/>
      <c r="C64" s="159"/>
      <c r="D64" s="162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</row>
    <row r="65" spans="1:21" ht="7.5" customHeight="1" x14ac:dyDescent="0.25">
      <c r="A65" s="124"/>
      <c r="B65" s="157"/>
      <c r="C65" s="160"/>
      <c r="D65" s="163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</row>
    <row r="66" spans="1:21" ht="11.4" customHeight="1" x14ac:dyDescent="0.25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</row>
    <row r="67" spans="1:21" ht="2.4" customHeight="1" x14ac:dyDescent="0.25"/>
    <row r="68" spans="1:21" x14ac:dyDescent="0.25"/>
    <row r="69" spans="1:21" ht="22.2" customHeight="1" x14ac:dyDescent="0.25"/>
    <row r="70" spans="1:21" x14ac:dyDescent="0.2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 x14ac:dyDescent="0.25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</row>
    <row r="72" spans="1:21" x14ac:dyDescent="0.25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</row>
    <row r="73" spans="1:21" hidden="1" x14ac:dyDescent="0.25"/>
  </sheetData>
  <sheetProtection sheet="1" objects="1" scenarios="1" selectLockedCells="1"/>
  <mergeCells count="110">
    <mergeCell ref="O9:Q11"/>
    <mergeCell ref="O41:Q43"/>
    <mergeCell ref="S37:S39"/>
    <mergeCell ref="T37:T39"/>
    <mergeCell ref="O13:O15"/>
    <mergeCell ref="P13:P15"/>
    <mergeCell ref="Q13:Q15"/>
    <mergeCell ref="O21:O23"/>
    <mergeCell ref="P21:P23"/>
    <mergeCell ref="Q21:Q23"/>
    <mergeCell ref="S45:S47"/>
    <mergeCell ref="T45:T47"/>
    <mergeCell ref="S21:S23"/>
    <mergeCell ref="T21:T23"/>
    <mergeCell ref="S29:S31"/>
    <mergeCell ref="T29:T31"/>
    <mergeCell ref="S17:T19"/>
    <mergeCell ref="S25:T27"/>
    <mergeCell ref="S33:T35"/>
    <mergeCell ref="S41:T43"/>
    <mergeCell ref="B63:B65"/>
    <mergeCell ref="C63:C65"/>
    <mergeCell ref="D63:D65"/>
    <mergeCell ref="D55:D57"/>
    <mergeCell ref="J57:J59"/>
    <mergeCell ref="K57:K59"/>
    <mergeCell ref="L57:L59"/>
    <mergeCell ref="B59:B61"/>
    <mergeCell ref="C59:C61"/>
    <mergeCell ref="D59:D61"/>
    <mergeCell ref="F61:F63"/>
    <mergeCell ref="G61:G63"/>
    <mergeCell ref="H61:H63"/>
    <mergeCell ref="P45:P47"/>
    <mergeCell ref="Q45:Q47"/>
    <mergeCell ref="B51:B53"/>
    <mergeCell ref="C51:C53"/>
    <mergeCell ref="D51:D53"/>
    <mergeCell ref="F53:F55"/>
    <mergeCell ref="G53:G55"/>
    <mergeCell ref="H53:H55"/>
    <mergeCell ref="B55:B57"/>
    <mergeCell ref="C55:C57"/>
    <mergeCell ref="G45:G47"/>
    <mergeCell ref="H45:H47"/>
    <mergeCell ref="B47:B49"/>
    <mergeCell ref="C47:C49"/>
    <mergeCell ref="D47:D49"/>
    <mergeCell ref="O45:O47"/>
    <mergeCell ref="O53:O55"/>
    <mergeCell ref="P53:P55"/>
    <mergeCell ref="Q53:Q55"/>
    <mergeCell ref="B39:B41"/>
    <mergeCell ref="C39:C41"/>
    <mergeCell ref="D39:D41"/>
    <mergeCell ref="J41:J43"/>
    <mergeCell ref="K41:K43"/>
    <mergeCell ref="L41:L43"/>
    <mergeCell ref="B43:B45"/>
    <mergeCell ref="C43:C45"/>
    <mergeCell ref="D43:D45"/>
    <mergeCell ref="F45:F47"/>
    <mergeCell ref="B35:B37"/>
    <mergeCell ref="C35:C37"/>
    <mergeCell ref="D35:D37"/>
    <mergeCell ref="F37:F39"/>
    <mergeCell ref="G37:G39"/>
    <mergeCell ref="H37:H39"/>
    <mergeCell ref="J9:J11"/>
    <mergeCell ref="K9:K11"/>
    <mergeCell ref="L9:L11"/>
    <mergeCell ref="J25:J27"/>
    <mergeCell ref="K25:K27"/>
    <mergeCell ref="L25:L27"/>
    <mergeCell ref="F29:F31"/>
    <mergeCell ref="G29:G31"/>
    <mergeCell ref="H29:H31"/>
    <mergeCell ref="F21:F23"/>
    <mergeCell ref="G21:G23"/>
    <mergeCell ref="H21:H23"/>
    <mergeCell ref="F13:F15"/>
    <mergeCell ref="G13:G15"/>
    <mergeCell ref="H13:H15"/>
    <mergeCell ref="B7:B9"/>
    <mergeCell ref="C7:C9"/>
    <mergeCell ref="D7:D9"/>
    <mergeCell ref="F5:F7"/>
    <mergeCell ref="G5:G7"/>
    <mergeCell ref="H5:H7"/>
    <mergeCell ref="B27:B29"/>
    <mergeCell ref="C27:C29"/>
    <mergeCell ref="D27:D29"/>
    <mergeCell ref="B31:B33"/>
    <mergeCell ref="C31:C33"/>
    <mergeCell ref="D31:D33"/>
    <mergeCell ref="B19:B21"/>
    <mergeCell ref="C19:C21"/>
    <mergeCell ref="D19:D21"/>
    <mergeCell ref="B23:B25"/>
    <mergeCell ref="C23:C25"/>
    <mergeCell ref="D23:D25"/>
    <mergeCell ref="B11:B13"/>
    <mergeCell ref="C11:C13"/>
    <mergeCell ref="D11:D13"/>
    <mergeCell ref="B15:B17"/>
    <mergeCell ref="C15:C17"/>
    <mergeCell ref="D15:D17"/>
    <mergeCell ref="B3:B5"/>
    <mergeCell ref="C3:C5"/>
    <mergeCell ref="D3:D5"/>
  </mergeCells>
  <printOptions verticalCentered="1"/>
  <pageMargins left="0.31496062992125984" right="0.31496062992125984" top="0.35433070866141736" bottom="0.35433070866141736" header="0" footer="0"/>
  <pageSetup paperSize="9" scale="86" orientation="landscape" r:id="rId1"/>
  <drawing r:id="rId2"/>
  <legacyDrawing r:id="rId3"/>
  <picture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37"/>
  <sheetViews>
    <sheetView topLeftCell="F1" zoomScaleNormal="100" workbookViewId="0">
      <pane ySplit="1" topLeftCell="A2" activePane="bottomLeft" state="frozen"/>
      <selection pane="bottomLeft" activeCell="N15" sqref="N15"/>
    </sheetView>
  </sheetViews>
  <sheetFormatPr defaultRowHeight="13.8" x14ac:dyDescent="0.25"/>
  <cols>
    <col min="1" max="1" width="0" hidden="1" customWidth="1"/>
    <col min="2" max="2" width="17.296875" style="1" hidden="1" customWidth="1"/>
    <col min="3" max="3" width="0" style="2" hidden="1" customWidth="1"/>
    <col min="4" max="4" width="5.59765625" hidden="1" customWidth="1"/>
    <col min="5" max="5" width="19" hidden="1" customWidth="1"/>
    <col min="7" max="7" width="18" bestFit="1" customWidth="1"/>
    <col min="8" max="8" width="15.59765625" bestFit="1" customWidth="1"/>
    <col min="9" max="9" width="6.8984375" customWidth="1"/>
  </cols>
  <sheetData>
    <row r="1" spans="1:9" ht="28.2" customHeight="1" x14ac:dyDescent="0.25">
      <c r="B1" s="100" t="s">
        <v>0</v>
      </c>
      <c r="C1" s="100" t="s">
        <v>1</v>
      </c>
      <c r="D1" s="100"/>
      <c r="E1" s="100" t="s">
        <v>49</v>
      </c>
      <c r="G1" s="100" t="s">
        <v>442</v>
      </c>
      <c r="H1" s="100" t="s">
        <v>49</v>
      </c>
      <c r="I1" s="122" t="s">
        <v>377</v>
      </c>
    </row>
    <row r="2" spans="1:9" ht="24.75" customHeight="1" x14ac:dyDescent="0.25">
      <c r="A2" s="104">
        <v>1</v>
      </c>
      <c r="B2" s="97" t="s">
        <v>2</v>
      </c>
      <c r="C2" s="98" t="s">
        <v>3</v>
      </c>
      <c r="D2" s="99" t="s">
        <v>87</v>
      </c>
      <c r="E2" s="97" t="str">
        <f t="array" ref="E2:E33" xml:space="preserve"> INDEX(CountryLists[], 0, Labels!language.idx)</f>
        <v>روسیه</v>
      </c>
      <c r="F2" s="139">
        <v>1</v>
      </c>
      <c r="G2" s="117" t="str">
        <f t="array" ref="G2:G33">CountryLists[]</f>
        <v>Russia</v>
      </c>
      <c r="H2" s="120" t="str">
        <f t="array" ref="H2:H33" xml:space="preserve"> INDEX(CountryLists[], 0, Labels!language.idx)</f>
        <v>روسیه</v>
      </c>
      <c r="I2" s="123" t="str">
        <f t="shared" ref="I2:I33" si="0">LEFT(G2,2)</f>
        <v>Ru</v>
      </c>
    </row>
    <row r="3" spans="1:9" ht="24.75" customHeight="1" x14ac:dyDescent="0.25">
      <c r="A3" s="104">
        <v>2</v>
      </c>
      <c r="B3" s="28" t="s">
        <v>4</v>
      </c>
      <c r="C3" s="29" t="s">
        <v>5</v>
      </c>
      <c r="D3" s="30" t="s">
        <v>88</v>
      </c>
      <c r="E3" s="28" t="str">
        <v>عربستان</v>
      </c>
      <c r="F3" s="139">
        <v>2</v>
      </c>
      <c r="G3" s="117" t="str">
        <v>Saudi Arabia</v>
      </c>
      <c r="H3" s="121" t="str">
        <v>عربستان</v>
      </c>
      <c r="I3" s="123" t="str">
        <f t="shared" si="0"/>
        <v>Sa</v>
      </c>
    </row>
    <row r="4" spans="1:9" ht="24.75" customHeight="1" x14ac:dyDescent="0.25">
      <c r="A4" s="104">
        <v>3</v>
      </c>
      <c r="B4" s="28" t="s">
        <v>6</v>
      </c>
      <c r="C4" s="29" t="s">
        <v>7</v>
      </c>
      <c r="D4" s="30" t="s">
        <v>89</v>
      </c>
      <c r="E4" s="28" t="str">
        <v>مصر</v>
      </c>
      <c r="F4" s="139">
        <v>3</v>
      </c>
      <c r="G4" s="117" t="str">
        <v>Egypt</v>
      </c>
      <c r="H4" s="121" t="str">
        <v>مصر</v>
      </c>
      <c r="I4" s="123" t="str">
        <f t="shared" si="0"/>
        <v>Eg</v>
      </c>
    </row>
    <row r="5" spans="1:9" ht="24.75" customHeight="1" x14ac:dyDescent="0.25">
      <c r="A5" s="104">
        <v>4</v>
      </c>
      <c r="B5" s="28" t="s">
        <v>8</v>
      </c>
      <c r="C5" s="29" t="s">
        <v>9</v>
      </c>
      <c r="D5" s="30" t="s">
        <v>90</v>
      </c>
      <c r="E5" s="28" t="str">
        <v>اروگوئه</v>
      </c>
      <c r="F5" s="139">
        <v>4</v>
      </c>
      <c r="G5" s="117" t="str">
        <v>Uruguay</v>
      </c>
      <c r="H5" s="121" t="str">
        <v>اروگوئه</v>
      </c>
      <c r="I5" s="123" t="str">
        <f t="shared" si="0"/>
        <v>Ur</v>
      </c>
    </row>
    <row r="6" spans="1:9" ht="24.75" customHeight="1" x14ac:dyDescent="0.25">
      <c r="A6" s="104">
        <v>5</v>
      </c>
      <c r="B6" s="28" t="s">
        <v>10</v>
      </c>
      <c r="C6" s="29" t="s">
        <v>11</v>
      </c>
      <c r="D6" s="30" t="s">
        <v>91</v>
      </c>
      <c r="E6" s="28" t="str">
        <v>پرتغال</v>
      </c>
      <c r="F6" s="139">
        <v>5</v>
      </c>
      <c r="G6" s="117" t="str">
        <v>Portugal</v>
      </c>
      <c r="H6" s="121" t="str">
        <v>پرتغال</v>
      </c>
      <c r="I6" s="123" t="str">
        <f t="shared" si="0"/>
        <v>Po</v>
      </c>
    </row>
    <row r="7" spans="1:9" ht="24.75" customHeight="1" x14ac:dyDescent="0.25">
      <c r="A7" s="104">
        <v>6</v>
      </c>
      <c r="B7" s="28" t="s">
        <v>12</v>
      </c>
      <c r="C7" s="29" t="s">
        <v>13</v>
      </c>
      <c r="D7" s="30" t="s">
        <v>92</v>
      </c>
      <c r="E7" s="28" t="str">
        <v>اسپانیا</v>
      </c>
      <c r="F7" s="139">
        <v>6</v>
      </c>
      <c r="G7" s="117" t="str">
        <v>Spain</v>
      </c>
      <c r="H7" s="121" t="str">
        <v>اسپانیا</v>
      </c>
      <c r="I7" s="123" t="str">
        <f t="shared" si="0"/>
        <v>Sp</v>
      </c>
    </row>
    <row r="8" spans="1:9" ht="24.75" customHeight="1" x14ac:dyDescent="0.25">
      <c r="A8" s="104">
        <v>7</v>
      </c>
      <c r="B8" s="28" t="s">
        <v>14</v>
      </c>
      <c r="C8" s="29" t="s">
        <v>15</v>
      </c>
      <c r="D8" s="30" t="s">
        <v>93</v>
      </c>
      <c r="E8" s="28" t="str">
        <v>مراکش</v>
      </c>
      <c r="F8" s="139">
        <v>7</v>
      </c>
      <c r="G8" s="117" t="str">
        <v>Morocco</v>
      </c>
      <c r="H8" s="121" t="str">
        <v>مراکش</v>
      </c>
      <c r="I8" s="123" t="str">
        <f t="shared" si="0"/>
        <v>Mo</v>
      </c>
    </row>
    <row r="9" spans="1:9" ht="24.75" customHeight="1" x14ac:dyDescent="0.25">
      <c r="A9" s="104">
        <v>8</v>
      </c>
      <c r="B9" s="28" t="s">
        <v>200</v>
      </c>
      <c r="C9" s="29"/>
      <c r="D9" s="30"/>
      <c r="E9" s="28" t="str">
        <v>ایران</v>
      </c>
      <c r="F9" s="139">
        <v>8</v>
      </c>
      <c r="G9" s="117" t="str">
        <v>Iran</v>
      </c>
      <c r="H9" s="121" t="str">
        <v>ایران</v>
      </c>
      <c r="I9" s="123" t="str">
        <f t="shared" si="0"/>
        <v>Ir</v>
      </c>
    </row>
    <row r="10" spans="1:9" ht="24.75" customHeight="1" x14ac:dyDescent="0.25">
      <c r="A10" s="104">
        <v>9</v>
      </c>
      <c r="B10" s="28" t="s">
        <v>145</v>
      </c>
      <c r="C10" s="29"/>
      <c r="D10" s="30"/>
      <c r="E10" s="28" t="str">
        <v>فرانسه</v>
      </c>
      <c r="F10" s="139">
        <v>9</v>
      </c>
      <c r="G10" s="117" t="str">
        <v>France</v>
      </c>
      <c r="H10" s="121" t="str">
        <v>فرانسه</v>
      </c>
      <c r="I10" s="123" t="str">
        <f t="shared" si="0"/>
        <v>Fr</v>
      </c>
    </row>
    <row r="11" spans="1:9" ht="24.75" customHeight="1" x14ac:dyDescent="0.25">
      <c r="A11" s="104">
        <v>10</v>
      </c>
      <c r="B11" s="28" t="s">
        <v>16</v>
      </c>
      <c r="C11" s="29" t="s">
        <v>17</v>
      </c>
      <c r="D11" s="30" t="s">
        <v>94</v>
      </c>
      <c r="E11" s="28" t="str">
        <v>استرالیا</v>
      </c>
      <c r="F11" s="139">
        <v>10</v>
      </c>
      <c r="G11" s="117" t="str">
        <v>Australia</v>
      </c>
      <c r="H11" s="121" t="str">
        <v>استرالیا</v>
      </c>
      <c r="I11" s="123" t="str">
        <f t="shared" si="0"/>
        <v>Au</v>
      </c>
    </row>
    <row r="12" spans="1:9" ht="24.75" customHeight="1" x14ac:dyDescent="0.25">
      <c r="A12" s="104">
        <v>11</v>
      </c>
      <c r="B12" s="28" t="s">
        <v>18</v>
      </c>
      <c r="C12" s="29" t="s">
        <v>19</v>
      </c>
      <c r="D12" s="30" t="s">
        <v>95</v>
      </c>
      <c r="E12" s="28" t="str">
        <v>پرو</v>
      </c>
      <c r="F12" s="139">
        <v>11</v>
      </c>
      <c r="G12" s="117" t="str">
        <v>Peru</v>
      </c>
      <c r="H12" s="121" t="str">
        <v>پرو</v>
      </c>
      <c r="I12" s="123" t="str">
        <f t="shared" si="0"/>
        <v>Pe</v>
      </c>
    </row>
    <row r="13" spans="1:9" ht="24.75" customHeight="1" x14ac:dyDescent="0.25">
      <c r="A13" s="104">
        <v>12</v>
      </c>
      <c r="B13" s="28" t="s">
        <v>20</v>
      </c>
      <c r="C13" s="29" t="s">
        <v>21</v>
      </c>
      <c r="D13" s="30" t="s">
        <v>96</v>
      </c>
      <c r="E13" s="28" t="str">
        <v>دانمارک</v>
      </c>
      <c r="F13" s="139">
        <v>12</v>
      </c>
      <c r="G13" s="117" t="str">
        <v>Denmark</v>
      </c>
      <c r="H13" s="121" t="str">
        <v>دانمارک</v>
      </c>
      <c r="I13" s="123" t="str">
        <f t="shared" si="0"/>
        <v>De</v>
      </c>
    </row>
    <row r="14" spans="1:9" ht="24.75" customHeight="1" x14ac:dyDescent="0.25">
      <c r="A14" s="104">
        <v>13</v>
      </c>
      <c r="B14" s="28" t="s">
        <v>213</v>
      </c>
      <c r="C14" s="29"/>
      <c r="D14" s="30"/>
      <c r="E14" s="28" t="str">
        <v>آرژانتین</v>
      </c>
      <c r="F14" s="139">
        <v>13</v>
      </c>
      <c r="G14" s="117" t="str">
        <v>Argentina</v>
      </c>
      <c r="H14" s="121" t="str">
        <v>آرژانتین</v>
      </c>
      <c r="I14" s="123" t="str">
        <f t="shared" si="0"/>
        <v>Ar</v>
      </c>
    </row>
    <row r="15" spans="1:9" ht="24.75" customHeight="1" x14ac:dyDescent="0.25">
      <c r="A15" s="104">
        <v>14</v>
      </c>
      <c r="B15" s="28" t="s">
        <v>22</v>
      </c>
      <c r="C15" s="29" t="s">
        <v>23</v>
      </c>
      <c r="D15" s="30" t="s">
        <v>97</v>
      </c>
      <c r="E15" s="28" t="str">
        <v>ایسلند</v>
      </c>
      <c r="F15" s="139">
        <v>14</v>
      </c>
      <c r="G15" s="117" t="str">
        <v>Iceland</v>
      </c>
      <c r="H15" s="121" t="str">
        <v>ایسلند</v>
      </c>
      <c r="I15" s="123" t="str">
        <f t="shared" si="0"/>
        <v>Ic</v>
      </c>
    </row>
    <row r="16" spans="1:9" ht="24.75" customHeight="1" x14ac:dyDescent="0.25">
      <c r="A16" s="104">
        <v>15</v>
      </c>
      <c r="B16" s="28" t="s">
        <v>24</v>
      </c>
      <c r="C16" s="29" t="s">
        <v>25</v>
      </c>
      <c r="D16" s="30" t="s">
        <v>98</v>
      </c>
      <c r="E16" s="28" t="str">
        <v>کروواسی</v>
      </c>
      <c r="F16" s="139">
        <v>15</v>
      </c>
      <c r="G16" s="117" t="str">
        <v>Croatia</v>
      </c>
      <c r="H16" s="121" t="str">
        <v>کروواسی</v>
      </c>
      <c r="I16" s="123" t="str">
        <f t="shared" si="0"/>
        <v>Cr</v>
      </c>
    </row>
    <row r="17" spans="1:9" ht="24.75" customHeight="1" x14ac:dyDescent="0.25">
      <c r="A17" s="104">
        <v>16</v>
      </c>
      <c r="B17" s="28" t="s">
        <v>27</v>
      </c>
      <c r="C17" s="29" t="s">
        <v>50</v>
      </c>
      <c r="D17" s="30" t="s">
        <v>100</v>
      </c>
      <c r="E17" s="28" t="str">
        <v>نیجریه</v>
      </c>
      <c r="F17" s="139">
        <v>16</v>
      </c>
      <c r="G17" s="117" t="str">
        <v>Nigeria</v>
      </c>
      <c r="H17" s="121" t="str">
        <v>نیجریه</v>
      </c>
      <c r="I17" s="123" t="str">
        <f t="shared" si="0"/>
        <v>Ni</v>
      </c>
    </row>
    <row r="18" spans="1:9" ht="24.75" customHeight="1" x14ac:dyDescent="0.25">
      <c r="A18" s="104">
        <v>17</v>
      </c>
      <c r="B18" s="28" t="s">
        <v>169</v>
      </c>
      <c r="C18" s="29"/>
      <c r="D18" s="30"/>
      <c r="E18" s="28" t="str">
        <v>برزیل</v>
      </c>
      <c r="F18" s="139">
        <v>17</v>
      </c>
      <c r="G18" s="117" t="str">
        <v>Brazil</v>
      </c>
      <c r="H18" s="121" t="str">
        <v>برزیل</v>
      </c>
      <c r="I18" s="123" t="str">
        <f t="shared" si="0"/>
        <v>Br</v>
      </c>
    </row>
    <row r="19" spans="1:9" ht="24.75" customHeight="1" x14ac:dyDescent="0.25">
      <c r="A19" s="104">
        <v>18</v>
      </c>
      <c r="B19" s="28" t="s">
        <v>28</v>
      </c>
      <c r="C19" s="29" t="s">
        <v>29</v>
      </c>
      <c r="D19" s="30" t="s">
        <v>101</v>
      </c>
      <c r="E19" s="28" t="str">
        <v>سوییس</v>
      </c>
      <c r="F19" s="139">
        <v>18</v>
      </c>
      <c r="G19" s="117" t="str">
        <v>Switzerland</v>
      </c>
      <c r="H19" s="121" t="str">
        <v>سوییس</v>
      </c>
      <c r="I19" s="123" t="str">
        <f t="shared" si="0"/>
        <v>Sw</v>
      </c>
    </row>
    <row r="20" spans="1:9" ht="24.75" customHeight="1" x14ac:dyDescent="0.25">
      <c r="A20" s="104">
        <v>19</v>
      </c>
      <c r="B20" s="28" t="s">
        <v>292</v>
      </c>
      <c r="C20" s="29"/>
      <c r="D20" s="30"/>
      <c r="E20" s="28" t="str">
        <v>کاستاریکا</v>
      </c>
      <c r="F20" s="139">
        <v>19</v>
      </c>
      <c r="G20" s="117" t="str">
        <v>Costa Rica</v>
      </c>
      <c r="H20" s="121" t="str">
        <v>کاستاریکا</v>
      </c>
      <c r="I20" s="123" t="str">
        <f t="shared" si="0"/>
        <v>Co</v>
      </c>
    </row>
    <row r="21" spans="1:9" ht="24.75" customHeight="1" x14ac:dyDescent="0.25">
      <c r="A21" s="104">
        <v>20</v>
      </c>
      <c r="B21" s="28" t="s">
        <v>193</v>
      </c>
      <c r="C21" s="29"/>
      <c r="D21" s="30"/>
      <c r="E21" s="28" t="str">
        <v>صربستان</v>
      </c>
      <c r="F21" s="139">
        <v>20</v>
      </c>
      <c r="G21" s="117" t="str">
        <v>Serbia</v>
      </c>
      <c r="H21" s="121" t="str">
        <v>صربستان</v>
      </c>
      <c r="I21" s="123" t="str">
        <f t="shared" si="0"/>
        <v>Se</v>
      </c>
    </row>
    <row r="22" spans="1:9" ht="24.75" customHeight="1" x14ac:dyDescent="0.25">
      <c r="A22" s="104">
        <v>21</v>
      </c>
      <c r="B22" s="28" t="s">
        <v>312</v>
      </c>
      <c r="C22" s="29"/>
      <c r="D22" s="30"/>
      <c r="E22" s="28" t="str">
        <v>آلمان</v>
      </c>
      <c r="F22" s="139">
        <v>21</v>
      </c>
      <c r="G22" s="117" t="str">
        <v>Germany</v>
      </c>
      <c r="H22" s="121" t="str">
        <v>آلمان</v>
      </c>
      <c r="I22" s="123" t="str">
        <f t="shared" si="0"/>
        <v>Ge</v>
      </c>
    </row>
    <row r="23" spans="1:9" ht="24.75" customHeight="1" x14ac:dyDescent="0.25">
      <c r="A23" s="104">
        <v>22</v>
      </c>
      <c r="B23" s="28" t="s">
        <v>30</v>
      </c>
      <c r="C23" s="29" t="s">
        <v>31</v>
      </c>
      <c r="D23" s="30" t="s">
        <v>102</v>
      </c>
      <c r="E23" s="28" t="str">
        <v>مکزیک</v>
      </c>
      <c r="F23" s="139">
        <v>22</v>
      </c>
      <c r="G23" s="117" t="str">
        <v>Mexico</v>
      </c>
      <c r="H23" s="121" t="str">
        <v>مکزیک</v>
      </c>
      <c r="I23" s="123" t="str">
        <f t="shared" si="0"/>
        <v>Me</v>
      </c>
    </row>
    <row r="24" spans="1:9" ht="24.75" customHeight="1" x14ac:dyDescent="0.25">
      <c r="A24" s="104">
        <v>23</v>
      </c>
      <c r="B24" s="28" t="s">
        <v>32</v>
      </c>
      <c r="C24" s="29" t="s">
        <v>33</v>
      </c>
      <c r="D24" s="30" t="s">
        <v>103</v>
      </c>
      <c r="E24" s="28" t="str">
        <v>سوئد</v>
      </c>
      <c r="F24" s="139">
        <v>23</v>
      </c>
      <c r="G24" s="117" t="str">
        <v>Sweden</v>
      </c>
      <c r="H24" s="121" t="str">
        <v>سوئد</v>
      </c>
      <c r="I24" s="123" t="str">
        <f t="shared" si="0"/>
        <v>Sw</v>
      </c>
    </row>
    <row r="25" spans="1:9" ht="24.75" customHeight="1" x14ac:dyDescent="0.25">
      <c r="A25" s="104">
        <v>24</v>
      </c>
      <c r="B25" s="28" t="s">
        <v>138</v>
      </c>
      <c r="C25" s="29"/>
      <c r="D25" s="30"/>
      <c r="E25" s="28" t="str">
        <v>کره جنوبی</v>
      </c>
      <c r="F25" s="139">
        <v>24</v>
      </c>
      <c r="G25" s="117" t="str">
        <v>South Korea</v>
      </c>
      <c r="H25" s="121" t="str">
        <v>کره جنوبی</v>
      </c>
      <c r="I25" s="123" t="str">
        <f t="shared" si="0"/>
        <v>So</v>
      </c>
    </row>
    <row r="26" spans="1:9" ht="24.75" customHeight="1" x14ac:dyDescent="0.25">
      <c r="A26" s="104">
        <v>25</v>
      </c>
      <c r="B26" s="28" t="s">
        <v>320</v>
      </c>
      <c r="C26" s="29"/>
      <c r="D26" s="30"/>
      <c r="E26" s="28" t="str">
        <v>بلژیک</v>
      </c>
      <c r="F26" s="139">
        <v>25</v>
      </c>
      <c r="G26" s="117" t="str">
        <v>Belgium</v>
      </c>
      <c r="H26" s="121" t="str">
        <v>بلژیک</v>
      </c>
      <c r="I26" s="123" t="str">
        <f t="shared" si="0"/>
        <v>Be</v>
      </c>
    </row>
    <row r="27" spans="1:9" ht="24.75" customHeight="1" x14ac:dyDescent="0.25">
      <c r="A27" s="104">
        <v>26</v>
      </c>
      <c r="B27" s="28" t="s">
        <v>250</v>
      </c>
      <c r="C27" s="29"/>
      <c r="D27" s="30"/>
      <c r="E27" s="28" t="str">
        <v>پاناما</v>
      </c>
      <c r="F27" s="139">
        <v>26</v>
      </c>
      <c r="G27" s="117" t="str">
        <v>Panama</v>
      </c>
      <c r="H27" s="121" t="str">
        <v>پاناما</v>
      </c>
      <c r="I27" s="123" t="str">
        <f t="shared" si="0"/>
        <v>Pa</v>
      </c>
    </row>
    <row r="28" spans="1:9" ht="24.75" customHeight="1" x14ac:dyDescent="0.25">
      <c r="A28" s="104">
        <v>27</v>
      </c>
      <c r="B28" s="28" t="s">
        <v>51</v>
      </c>
      <c r="C28" s="29" t="s">
        <v>26</v>
      </c>
      <c r="D28" s="30" t="s">
        <v>99</v>
      </c>
      <c r="E28" s="28" t="str">
        <v>تونس</v>
      </c>
      <c r="F28" s="139">
        <v>27</v>
      </c>
      <c r="G28" s="117" t="str">
        <v>Tunisia</v>
      </c>
      <c r="H28" s="121" t="str">
        <v>تونس</v>
      </c>
      <c r="I28" s="123" t="str">
        <f t="shared" si="0"/>
        <v>Tu</v>
      </c>
    </row>
    <row r="29" spans="1:9" ht="24.75" customHeight="1" x14ac:dyDescent="0.25">
      <c r="A29" s="104">
        <v>28</v>
      </c>
      <c r="B29" s="28" t="s">
        <v>34</v>
      </c>
      <c r="C29" s="29" t="s">
        <v>35</v>
      </c>
      <c r="D29" s="30" t="s">
        <v>104</v>
      </c>
      <c r="E29" s="28" t="str">
        <v>انگلستان</v>
      </c>
      <c r="F29" s="139">
        <v>28</v>
      </c>
      <c r="G29" s="117" t="str">
        <v>England</v>
      </c>
      <c r="H29" s="121" t="str">
        <v>انگلستان</v>
      </c>
      <c r="I29" s="123" t="str">
        <f t="shared" si="0"/>
        <v>En</v>
      </c>
    </row>
    <row r="30" spans="1:9" ht="24.75" customHeight="1" x14ac:dyDescent="0.25">
      <c r="A30" s="104">
        <v>29</v>
      </c>
      <c r="B30" s="28" t="s">
        <v>270</v>
      </c>
      <c r="C30" s="29"/>
      <c r="D30" s="30"/>
      <c r="E30" s="28" t="str">
        <v>لهستان</v>
      </c>
      <c r="F30" s="139">
        <v>29</v>
      </c>
      <c r="G30" s="117" t="str">
        <v>Poland</v>
      </c>
      <c r="H30" s="121" t="str">
        <v>لهستان</v>
      </c>
      <c r="I30" s="123" t="str">
        <f t="shared" si="0"/>
        <v>Po</v>
      </c>
    </row>
    <row r="31" spans="1:9" ht="24.75" customHeight="1" x14ac:dyDescent="0.25">
      <c r="A31" s="104">
        <v>30</v>
      </c>
      <c r="B31" s="28" t="s">
        <v>36</v>
      </c>
      <c r="C31" s="29" t="s">
        <v>37</v>
      </c>
      <c r="D31" s="30" t="s">
        <v>105</v>
      </c>
      <c r="E31" s="28" t="str">
        <v>سنگال</v>
      </c>
      <c r="F31" s="139">
        <v>30</v>
      </c>
      <c r="G31" s="117" t="str">
        <v>Senegal</v>
      </c>
      <c r="H31" s="121" t="str">
        <v>سنگال</v>
      </c>
      <c r="I31" s="123" t="str">
        <f t="shared" si="0"/>
        <v>Se</v>
      </c>
    </row>
    <row r="32" spans="1:9" ht="24.75" customHeight="1" x14ac:dyDescent="0.25">
      <c r="A32" s="104">
        <v>31</v>
      </c>
      <c r="B32" s="28" t="s">
        <v>298</v>
      </c>
      <c r="C32" s="29"/>
      <c r="D32" s="30"/>
      <c r="E32" s="28" t="str">
        <v>کلمبیا</v>
      </c>
      <c r="F32" s="139">
        <v>31</v>
      </c>
      <c r="G32" s="117" t="str">
        <v>Colombia</v>
      </c>
      <c r="H32" s="121" t="str">
        <v>کلمبیا</v>
      </c>
      <c r="I32" s="123" t="str">
        <f t="shared" si="0"/>
        <v>Co</v>
      </c>
    </row>
    <row r="33" spans="1:9" ht="24.75" customHeight="1" x14ac:dyDescent="0.25">
      <c r="A33" s="104">
        <v>32</v>
      </c>
      <c r="B33" s="28" t="s">
        <v>38</v>
      </c>
      <c r="C33" s="29" t="s">
        <v>39</v>
      </c>
      <c r="D33" s="30" t="s">
        <v>106</v>
      </c>
      <c r="E33" s="28" t="str">
        <v>ژاپن</v>
      </c>
      <c r="F33" s="139">
        <v>32</v>
      </c>
      <c r="G33" s="117" t="str">
        <v>Japan</v>
      </c>
      <c r="H33" s="121" t="str">
        <v>ژاپن</v>
      </c>
      <c r="I33" s="123" t="str">
        <f t="shared" si="0"/>
        <v>Ja</v>
      </c>
    </row>
    <row r="34" spans="1:9" ht="24.75" customHeight="1" x14ac:dyDescent="0.25">
      <c r="A34" s="104">
        <v>33</v>
      </c>
      <c r="B34" s="28" t="s">
        <v>83</v>
      </c>
      <c r="C34" s="29" t="s">
        <v>84</v>
      </c>
      <c r="D34" s="31" t="s">
        <v>107</v>
      </c>
      <c r="E34" s="28" t="s">
        <v>83</v>
      </c>
      <c r="F34" s="139">
        <v>33</v>
      </c>
      <c r="G34" s="117" t="s">
        <v>83</v>
      </c>
      <c r="H34" s="121" t="str">
        <f>""</f>
        <v/>
      </c>
      <c r="I34" s="138"/>
    </row>
    <row r="36" spans="1:9" x14ac:dyDescent="0.25">
      <c r="B36" s="109" t="s">
        <v>374</v>
      </c>
      <c r="C36" s="110" t="s">
        <v>376</v>
      </c>
      <c r="D36" s="109" t="s">
        <v>378</v>
      </c>
      <c r="E36" s="107" t="s">
        <v>375</v>
      </c>
      <c r="H36" s="107" t="s">
        <v>375</v>
      </c>
      <c r="I36" s="109"/>
    </row>
    <row r="37" spans="1:9" ht="22.95" customHeight="1" x14ac:dyDescent="0.25"/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P51"/>
  <sheetViews>
    <sheetView zoomScaleNormal="100" workbookViewId="0">
      <pane ySplit="1" topLeftCell="A2" activePane="bottomLeft" state="frozen"/>
      <selection pane="bottomLeft" activeCell="R6" sqref="R6"/>
    </sheetView>
  </sheetViews>
  <sheetFormatPr defaultRowHeight="13.8" x14ac:dyDescent="0.25"/>
  <cols>
    <col min="1" max="2" width="8.8984375" style="2"/>
    <col min="3" max="3" width="11.59765625" style="2" customWidth="1"/>
    <col min="4" max="4" width="16.8984375" bestFit="1" customWidth="1"/>
    <col min="5" max="6" width="17.296875" bestFit="1" customWidth="1"/>
    <col min="7" max="7" width="8.8984375" style="2"/>
    <col min="8" max="8" width="10.8984375" style="2" bestFit="1" customWidth="1"/>
    <col min="9" max="10" width="10.8984375" style="2" customWidth="1"/>
    <col min="11" max="11" width="14.3984375" style="2" customWidth="1"/>
    <col min="12" max="12" width="14.3984375" customWidth="1"/>
    <col min="15" max="15" width="11.69921875" customWidth="1"/>
  </cols>
  <sheetData>
    <row r="1" spans="1:16" x14ac:dyDescent="0.25">
      <c r="A1" s="2" t="s">
        <v>66</v>
      </c>
      <c r="B1" s="2" t="s">
        <v>72</v>
      </c>
      <c r="C1" s="2" t="s">
        <v>67</v>
      </c>
      <c r="D1" t="s">
        <v>68</v>
      </c>
      <c r="E1" t="s">
        <v>379</v>
      </c>
      <c r="F1" t="s">
        <v>380</v>
      </c>
      <c r="G1" s="2" t="s">
        <v>41</v>
      </c>
      <c r="H1" s="2" t="s">
        <v>122</v>
      </c>
      <c r="I1" s="2" t="s">
        <v>383</v>
      </c>
      <c r="J1" s="2" t="s">
        <v>384</v>
      </c>
      <c r="K1" s="2" t="s">
        <v>381</v>
      </c>
      <c r="L1" t="s">
        <v>382</v>
      </c>
      <c r="O1" t="s">
        <v>73</v>
      </c>
      <c r="P1" s="2" t="s">
        <v>72</v>
      </c>
    </row>
    <row r="2" spans="1:16" x14ac:dyDescent="0.25">
      <c r="A2" s="2">
        <v>1</v>
      </c>
      <c r="B2" s="2" t="s">
        <v>358</v>
      </c>
      <c r="C2" s="7">
        <v>43265</v>
      </c>
      <c r="D2" t="s">
        <v>342</v>
      </c>
      <c r="E2" t="s">
        <v>32</v>
      </c>
      <c r="F2" t="s">
        <v>138</v>
      </c>
      <c r="G2" s="2" t="s">
        <v>446</v>
      </c>
      <c r="H2" s="2" t="str">
        <f xml:space="preserve"> GamesTable[[#This Row],[Group]] &amp; COUNTIFS(GamesTable[Group],GamesTable[[#This Row],[Group]],GamesTable[No],"&lt;="&amp;GamesTable[[#This Row],[No]])</f>
        <v>Group A1</v>
      </c>
      <c r="I2" s="2">
        <f xml:space="preserve"> MATCH(GamesTable[[#This Row],[Team1.English]], CountryLists[English], 0 )</f>
        <v>1</v>
      </c>
      <c r="J2" s="2">
        <f xml:space="preserve"> MATCH( GamesTable[[#This Row],[Team2English]], CountryLists[English], 0 )</f>
        <v>2</v>
      </c>
      <c r="K2" s="101" t="str">
        <f xml:space="preserve"> INDEX(CountryName.Loc,GamesTable[[#This Row],[Team1Num]])</f>
        <v>روسیه</v>
      </c>
      <c r="L2" t="str">
        <f xml:space="preserve"> INDEX(CountryName.Loc,GamesTable[[#This Row],[Team2Num]])</f>
        <v>عربستان</v>
      </c>
      <c r="O2">
        <v>1</v>
      </c>
      <c r="P2" s="2" t="s">
        <v>62</v>
      </c>
    </row>
    <row r="3" spans="1:16" x14ac:dyDescent="0.25">
      <c r="A3" s="2">
        <v>2</v>
      </c>
      <c r="B3" s="2" t="s">
        <v>359</v>
      </c>
      <c r="C3" s="7">
        <v>43266</v>
      </c>
      <c r="D3" t="s">
        <v>343</v>
      </c>
      <c r="E3" t="s">
        <v>145</v>
      </c>
      <c r="F3" t="s">
        <v>38</v>
      </c>
      <c r="G3" s="2" t="s">
        <v>446</v>
      </c>
      <c r="H3" s="2" t="str">
        <f xml:space="preserve"> GamesTable[[#This Row],[Group]] &amp; COUNTIFS(GamesTable[Group],GamesTable[[#This Row],[Group]],GamesTable[No],"&lt;="&amp;GamesTable[[#This Row],[No]])</f>
        <v>Group A2</v>
      </c>
      <c r="I3" s="2">
        <f xml:space="preserve"> MATCH(GamesTable[[#This Row],[Team1.English]], CountryLists[English], 0 )</f>
        <v>3</v>
      </c>
      <c r="J3" s="2">
        <f xml:space="preserve"> MATCH( GamesTable[[#This Row],[Team2English]], CountryLists[English], 0 )</f>
        <v>4</v>
      </c>
      <c r="K3" s="101" t="str">
        <f xml:space="preserve"> INDEX(CountryName.Loc,GamesTable[[#This Row],[Team1Num]])</f>
        <v>مصر</v>
      </c>
      <c r="L3" t="str">
        <f xml:space="preserve"> INDEX(CountryName.Loc,GamesTable[[#This Row],[Team2Num]])</f>
        <v>اروگوئه</v>
      </c>
      <c r="O3">
        <v>2</v>
      </c>
      <c r="P3" s="2" t="s">
        <v>63</v>
      </c>
    </row>
    <row r="4" spans="1:16" x14ac:dyDescent="0.25">
      <c r="A4" s="2">
        <v>3</v>
      </c>
      <c r="B4" s="2" t="s">
        <v>357</v>
      </c>
      <c r="C4" s="7">
        <v>43270</v>
      </c>
      <c r="D4" t="s">
        <v>344</v>
      </c>
      <c r="E4" t="s">
        <v>32</v>
      </c>
      <c r="F4" t="s">
        <v>145</v>
      </c>
      <c r="G4" s="2" t="s">
        <v>446</v>
      </c>
      <c r="H4" s="2" t="str">
        <f xml:space="preserve"> GamesTable[[#This Row],[Group]] &amp; COUNTIFS(GamesTable[Group],GamesTable[[#This Row],[Group]],GamesTable[No],"&lt;="&amp;GamesTable[[#This Row],[No]])</f>
        <v>Group A3</v>
      </c>
      <c r="I4" s="2">
        <f xml:space="preserve"> MATCH(GamesTable[[#This Row],[Team1.English]], CountryLists[English], 0 )</f>
        <v>1</v>
      </c>
      <c r="J4" s="2">
        <f xml:space="preserve"> MATCH( GamesTable[[#This Row],[Team2English]], CountryLists[English], 0 )</f>
        <v>3</v>
      </c>
      <c r="K4" s="101" t="str">
        <f xml:space="preserve"> INDEX(CountryName.Loc,GamesTable[[#This Row],[Team1Num]])</f>
        <v>روسیه</v>
      </c>
      <c r="L4" t="str">
        <f xml:space="preserve"> INDEX(CountryName.Loc,GamesTable[[#This Row],[Team2Num]])</f>
        <v>مصر</v>
      </c>
      <c r="O4">
        <v>3</v>
      </c>
      <c r="P4" s="2" t="s">
        <v>64</v>
      </c>
    </row>
    <row r="5" spans="1:16" x14ac:dyDescent="0.25">
      <c r="A5" s="2">
        <v>4</v>
      </c>
      <c r="B5" s="2" t="s">
        <v>356</v>
      </c>
      <c r="C5" s="7">
        <v>43271</v>
      </c>
      <c r="D5" t="s">
        <v>345</v>
      </c>
      <c r="E5" t="s">
        <v>38</v>
      </c>
      <c r="F5" t="s">
        <v>138</v>
      </c>
      <c r="G5" s="2" t="s">
        <v>446</v>
      </c>
      <c r="H5" s="2" t="str">
        <f xml:space="preserve"> GamesTable[[#This Row],[Group]] &amp; COUNTIFS(GamesTable[Group],GamesTable[[#This Row],[Group]],GamesTable[No],"&lt;="&amp;GamesTable[[#This Row],[No]])</f>
        <v>Group A4</v>
      </c>
      <c r="I5" s="2">
        <f xml:space="preserve"> MATCH(GamesTable[[#This Row],[Team1.English]], CountryLists[English], 0 )</f>
        <v>4</v>
      </c>
      <c r="J5" s="2">
        <f xml:space="preserve"> MATCH( GamesTable[[#This Row],[Team2English]], CountryLists[English], 0 )</f>
        <v>2</v>
      </c>
      <c r="K5" s="101" t="str">
        <f xml:space="preserve"> INDEX(CountryName.Loc,GamesTable[[#This Row],[Team1Num]])</f>
        <v>اروگوئه</v>
      </c>
      <c r="L5" t="str">
        <f xml:space="preserve"> INDEX(CountryName.Loc,GamesTable[[#This Row],[Team2Num]])</f>
        <v>عربستان</v>
      </c>
      <c r="O5">
        <v>4</v>
      </c>
      <c r="P5" s="2" t="s">
        <v>65</v>
      </c>
    </row>
    <row r="6" spans="1:16" x14ac:dyDescent="0.25">
      <c r="A6" s="2">
        <v>5</v>
      </c>
      <c r="B6" s="2" t="s">
        <v>354</v>
      </c>
      <c r="C6" s="7">
        <v>43276</v>
      </c>
      <c r="D6" t="s">
        <v>346</v>
      </c>
      <c r="E6" t="s">
        <v>38</v>
      </c>
      <c r="F6" t="s">
        <v>32</v>
      </c>
      <c r="G6" s="2" t="s">
        <v>446</v>
      </c>
      <c r="H6" s="2" t="str">
        <f xml:space="preserve"> GamesTable[[#This Row],[Group]] &amp; COUNTIFS(GamesTable[Group],GamesTable[[#This Row],[Group]],GamesTable[No],"&lt;="&amp;GamesTable[[#This Row],[No]])</f>
        <v>Group A5</v>
      </c>
      <c r="I6" s="2">
        <f xml:space="preserve"> MATCH(GamesTable[[#This Row],[Team1.English]], CountryLists[English], 0 )</f>
        <v>4</v>
      </c>
      <c r="J6" s="2">
        <f xml:space="preserve"> MATCH( GamesTable[[#This Row],[Team2English]], CountryLists[English], 0 )</f>
        <v>1</v>
      </c>
      <c r="K6" s="101" t="str">
        <f xml:space="preserve"> INDEX(CountryName.Loc,GamesTable[[#This Row],[Team1Num]])</f>
        <v>اروگوئه</v>
      </c>
      <c r="L6" t="str">
        <f xml:space="preserve"> INDEX(CountryName.Loc,GamesTable[[#This Row],[Team2Num]])</f>
        <v>روسیه</v>
      </c>
      <c r="O6">
        <v>5</v>
      </c>
      <c r="P6" s="2" t="s">
        <v>59</v>
      </c>
    </row>
    <row r="7" spans="1:16" x14ac:dyDescent="0.25">
      <c r="A7" s="2">
        <v>6</v>
      </c>
      <c r="B7" s="2" t="s">
        <v>354</v>
      </c>
      <c r="C7" s="7">
        <v>43276</v>
      </c>
      <c r="D7" t="s">
        <v>347</v>
      </c>
      <c r="E7" t="s">
        <v>138</v>
      </c>
      <c r="F7" t="s">
        <v>145</v>
      </c>
      <c r="G7" s="2" t="s">
        <v>446</v>
      </c>
      <c r="H7" s="2" t="str">
        <f xml:space="preserve"> GamesTable[[#This Row],[Group]] &amp; COUNTIFS(GamesTable[Group],GamesTable[[#This Row],[Group]],GamesTable[No],"&lt;="&amp;GamesTable[[#This Row],[No]])</f>
        <v>Group A6</v>
      </c>
      <c r="I7" s="2">
        <f xml:space="preserve"> MATCH(GamesTable[[#This Row],[Team1.English]], CountryLists[English], 0 )</f>
        <v>2</v>
      </c>
      <c r="J7" s="2">
        <f xml:space="preserve"> MATCH( GamesTable[[#This Row],[Team2English]], CountryLists[English], 0 )</f>
        <v>3</v>
      </c>
      <c r="K7" s="101" t="str">
        <f xml:space="preserve"> INDEX(CountryName.Loc,GamesTable[[#This Row],[Team1Num]])</f>
        <v>عربستان</v>
      </c>
      <c r="L7" t="str">
        <f xml:space="preserve"> INDEX(CountryName.Loc,GamesTable[[#This Row],[Team2Num]])</f>
        <v>مصر</v>
      </c>
      <c r="O7">
        <v>6</v>
      </c>
      <c r="P7" s="2" t="s">
        <v>60</v>
      </c>
    </row>
    <row r="8" spans="1:16" x14ac:dyDescent="0.25">
      <c r="A8" s="2">
        <v>7</v>
      </c>
      <c r="B8" s="2" t="s">
        <v>359</v>
      </c>
      <c r="C8" s="7">
        <v>43266</v>
      </c>
      <c r="D8" t="s">
        <v>348</v>
      </c>
      <c r="E8" t="s">
        <v>30</v>
      </c>
      <c r="F8" t="s">
        <v>34</v>
      </c>
      <c r="G8" s="2" t="s">
        <v>447</v>
      </c>
      <c r="H8" s="2" t="str">
        <f xml:space="preserve"> GamesTable[[#This Row],[Group]] &amp; COUNTIFS(GamesTable[Group],GamesTable[[#This Row],[Group]],GamesTable[No],"&lt;="&amp;GamesTable[[#This Row],[No]])</f>
        <v>Group B1</v>
      </c>
      <c r="I8" s="2">
        <f xml:space="preserve"> MATCH(GamesTable[[#This Row],[Team1.English]], CountryLists[English], 0 )</f>
        <v>5</v>
      </c>
      <c r="J8" s="2">
        <f xml:space="preserve"> MATCH( GamesTable[[#This Row],[Team2English]], CountryLists[English], 0 )</f>
        <v>6</v>
      </c>
      <c r="K8" s="101" t="str">
        <f xml:space="preserve"> INDEX(CountryName.Loc,GamesTable[[#This Row],[Team1Num]])</f>
        <v>پرتغال</v>
      </c>
      <c r="L8" t="str">
        <f xml:space="preserve"> INDEX(CountryName.Loc,GamesTable[[#This Row],[Team2Num]])</f>
        <v>اسپانیا</v>
      </c>
      <c r="O8">
        <v>7</v>
      </c>
      <c r="P8" s="2" t="s">
        <v>61</v>
      </c>
    </row>
    <row r="9" spans="1:16" x14ac:dyDescent="0.25">
      <c r="A9" s="2">
        <v>8</v>
      </c>
      <c r="B9" s="2" t="s">
        <v>359</v>
      </c>
      <c r="C9" s="7">
        <v>43266</v>
      </c>
      <c r="D9" t="s">
        <v>344</v>
      </c>
      <c r="E9" t="s">
        <v>169</v>
      </c>
      <c r="F9" t="s">
        <v>22</v>
      </c>
      <c r="G9" s="2" t="s">
        <v>447</v>
      </c>
      <c r="H9" s="2" t="str">
        <f xml:space="preserve"> GamesTable[[#This Row],[Group]] &amp; COUNTIFS(GamesTable[Group],GamesTable[[#This Row],[Group]],GamesTable[No],"&lt;="&amp;GamesTable[[#This Row],[No]])</f>
        <v>Group B2</v>
      </c>
      <c r="I9" s="2">
        <f xml:space="preserve"> MATCH(GamesTable[[#This Row],[Team1.English]], CountryLists[English], 0 )</f>
        <v>7</v>
      </c>
      <c r="J9" s="2">
        <f xml:space="preserve"> MATCH( GamesTable[[#This Row],[Team2English]], CountryLists[English], 0 )</f>
        <v>8</v>
      </c>
      <c r="K9" s="101" t="str">
        <f xml:space="preserve"> INDEX(CountryName.Loc,GamesTable[[#This Row],[Team1Num]])</f>
        <v>مراکش</v>
      </c>
      <c r="L9" t="str">
        <f xml:space="preserve"> INDEX(CountryName.Loc,GamesTable[[#This Row],[Team2Num]])</f>
        <v>ایران</v>
      </c>
    </row>
    <row r="10" spans="1:16" x14ac:dyDescent="0.25">
      <c r="A10" s="2">
        <v>9</v>
      </c>
      <c r="B10" s="2" t="s">
        <v>356</v>
      </c>
      <c r="C10" s="7">
        <v>43271</v>
      </c>
      <c r="D10" t="s">
        <v>342</v>
      </c>
      <c r="E10" t="s">
        <v>30</v>
      </c>
      <c r="F10" t="s">
        <v>169</v>
      </c>
      <c r="G10" s="2" t="s">
        <v>447</v>
      </c>
      <c r="H10" s="2" t="str">
        <f xml:space="preserve"> GamesTable[[#This Row],[Group]] &amp; COUNTIFS(GamesTable[Group],GamesTable[[#This Row],[Group]],GamesTable[No],"&lt;="&amp;GamesTable[[#This Row],[No]])</f>
        <v>Group B3</v>
      </c>
      <c r="I10" s="2">
        <f xml:space="preserve"> MATCH(GamesTable[[#This Row],[Team1.English]], CountryLists[English], 0 )</f>
        <v>5</v>
      </c>
      <c r="J10" s="2">
        <f xml:space="preserve"> MATCH( GamesTable[[#This Row],[Team2English]], CountryLists[English], 0 )</f>
        <v>7</v>
      </c>
      <c r="K10" s="101" t="str">
        <f xml:space="preserve"> INDEX(CountryName.Loc,GamesTable[[#This Row],[Team1Num]])</f>
        <v>پرتغال</v>
      </c>
      <c r="L10" t="str">
        <f xml:space="preserve"> INDEX(CountryName.Loc,GamesTable[[#This Row],[Team2Num]])</f>
        <v>مراکش</v>
      </c>
      <c r="O10" s="108" t="s">
        <v>373</v>
      </c>
    </row>
    <row r="11" spans="1:16" x14ac:dyDescent="0.25">
      <c r="A11" s="2">
        <v>10</v>
      </c>
      <c r="B11" s="2" t="s">
        <v>356</v>
      </c>
      <c r="C11" s="7">
        <v>43271</v>
      </c>
      <c r="D11" t="s">
        <v>349</v>
      </c>
      <c r="E11" t="s">
        <v>22</v>
      </c>
      <c r="F11" t="s">
        <v>34</v>
      </c>
      <c r="G11" s="2" t="s">
        <v>447</v>
      </c>
      <c r="H11" s="2" t="str">
        <f xml:space="preserve"> GamesTable[[#This Row],[Group]] &amp; COUNTIFS(GamesTable[Group],GamesTable[[#This Row],[Group]],GamesTable[No],"&lt;="&amp;GamesTable[[#This Row],[No]])</f>
        <v>Group B4</v>
      </c>
      <c r="I11" s="2">
        <f xml:space="preserve"> MATCH(GamesTable[[#This Row],[Team1.English]], CountryLists[English], 0 )</f>
        <v>8</v>
      </c>
      <c r="J11" s="2">
        <f xml:space="preserve"> MATCH( GamesTable[[#This Row],[Team2English]], CountryLists[English], 0 )</f>
        <v>6</v>
      </c>
      <c r="K11" s="101" t="str">
        <f xml:space="preserve"> INDEX(CountryName.Loc,GamesTable[[#This Row],[Team1Num]])</f>
        <v>ایران</v>
      </c>
      <c r="L11" s="101" t="str">
        <f xml:space="preserve"> INDEX(CountryName.Loc,GamesTable[[#This Row],[Team2Num]])</f>
        <v>اسپانیا</v>
      </c>
    </row>
    <row r="12" spans="1:16" x14ac:dyDescent="0.25">
      <c r="A12" s="2">
        <v>11</v>
      </c>
      <c r="B12" s="2" t="s">
        <v>354</v>
      </c>
      <c r="C12" s="7">
        <v>43276</v>
      </c>
      <c r="D12" t="s">
        <v>350</v>
      </c>
      <c r="E12" t="s">
        <v>22</v>
      </c>
      <c r="F12" t="s">
        <v>30</v>
      </c>
      <c r="G12" s="2" t="s">
        <v>447</v>
      </c>
      <c r="H12" s="2" t="str">
        <f xml:space="preserve"> GamesTable[[#This Row],[Group]] &amp; COUNTIFS(GamesTable[Group],GamesTable[[#This Row],[Group]],GamesTable[No],"&lt;="&amp;GamesTable[[#This Row],[No]])</f>
        <v>Group B5</v>
      </c>
      <c r="I12" s="2">
        <f xml:space="preserve"> MATCH(GamesTable[[#This Row],[Team1.English]], CountryLists[English], 0 )</f>
        <v>8</v>
      </c>
      <c r="J12" s="2">
        <f xml:space="preserve"> MATCH( GamesTable[[#This Row],[Team2English]], CountryLists[English], 0 )</f>
        <v>5</v>
      </c>
      <c r="K12" s="101" t="str">
        <f xml:space="preserve"> INDEX(CountryName.Loc,GamesTable[[#This Row],[Team1Num]])</f>
        <v>ایران</v>
      </c>
      <c r="L12" t="str">
        <f xml:space="preserve"> INDEX(CountryName.Loc,GamesTable[[#This Row],[Team2Num]])</f>
        <v>پرتغال</v>
      </c>
    </row>
    <row r="13" spans="1:16" x14ac:dyDescent="0.25">
      <c r="A13" s="2">
        <v>12</v>
      </c>
      <c r="B13" s="2" t="s">
        <v>354</v>
      </c>
      <c r="C13" s="7">
        <v>43276</v>
      </c>
      <c r="D13" t="s">
        <v>351</v>
      </c>
      <c r="E13" t="s">
        <v>34</v>
      </c>
      <c r="F13" t="s">
        <v>169</v>
      </c>
      <c r="G13" s="2" t="s">
        <v>447</v>
      </c>
      <c r="H13" s="2" t="str">
        <f xml:space="preserve"> GamesTable[[#This Row],[Group]] &amp; COUNTIFS(GamesTable[Group],GamesTable[[#This Row],[Group]],GamesTable[No],"&lt;="&amp;GamesTable[[#This Row],[No]])</f>
        <v>Group B6</v>
      </c>
      <c r="I13" s="2">
        <f xml:space="preserve"> MATCH(GamesTable[[#This Row],[Team1.English]], CountryLists[English], 0 )</f>
        <v>6</v>
      </c>
      <c r="J13" s="2">
        <f xml:space="preserve"> MATCH( GamesTable[[#This Row],[Team2English]], CountryLists[English], 0 )</f>
        <v>7</v>
      </c>
      <c r="K13" s="101" t="str">
        <f xml:space="preserve"> INDEX(CountryName.Loc,GamesTable[[#This Row],[Team1Num]])</f>
        <v>اسپانیا</v>
      </c>
      <c r="L13" t="str">
        <f xml:space="preserve"> INDEX(CountryName.Loc,GamesTable[[#This Row],[Team2Num]])</f>
        <v>مراکش</v>
      </c>
    </row>
    <row r="14" spans="1:16" x14ac:dyDescent="0.25">
      <c r="A14" s="2">
        <v>13</v>
      </c>
      <c r="B14" s="2" t="s">
        <v>355</v>
      </c>
      <c r="C14" s="7">
        <v>43267</v>
      </c>
      <c r="D14" t="s">
        <v>349</v>
      </c>
      <c r="E14" t="s">
        <v>18</v>
      </c>
      <c r="F14" t="s">
        <v>4</v>
      </c>
      <c r="G14" s="2" t="s">
        <v>448</v>
      </c>
      <c r="H14" s="2" t="str">
        <f xml:space="preserve"> GamesTable[[#This Row],[Group]] &amp; COUNTIFS(GamesTable[Group],GamesTable[[#This Row],[Group]],GamesTable[No],"&lt;="&amp;GamesTable[[#This Row],[No]])</f>
        <v>Group C1</v>
      </c>
      <c r="I14" s="2">
        <f xml:space="preserve"> MATCH(GamesTable[[#This Row],[Team1.English]], CountryLists[English], 0 )</f>
        <v>9</v>
      </c>
      <c r="J14" s="2">
        <f xml:space="preserve"> MATCH( GamesTable[[#This Row],[Team2English]], CountryLists[English], 0 )</f>
        <v>10</v>
      </c>
      <c r="K14" s="101" t="str">
        <f xml:space="preserve"> INDEX(CountryName.Loc,GamesTable[[#This Row],[Team1Num]])</f>
        <v>فرانسه</v>
      </c>
      <c r="L14" t="str">
        <f xml:space="preserve"> INDEX(CountryName.Loc,GamesTable[[#This Row],[Team2Num]])</f>
        <v>استرالیا</v>
      </c>
    </row>
    <row r="15" spans="1:16" x14ac:dyDescent="0.25">
      <c r="A15" s="2">
        <v>14</v>
      </c>
      <c r="B15" s="2" t="s">
        <v>355</v>
      </c>
      <c r="C15" s="7">
        <v>43267</v>
      </c>
      <c r="D15" t="s">
        <v>350</v>
      </c>
      <c r="E15" t="s">
        <v>193</v>
      </c>
      <c r="F15" t="s">
        <v>200</v>
      </c>
      <c r="G15" s="2" t="s">
        <v>448</v>
      </c>
      <c r="H15" s="2" t="str">
        <f xml:space="preserve"> GamesTable[[#This Row],[Group]] &amp; COUNTIFS(GamesTable[Group],GamesTable[[#This Row],[Group]],GamesTable[No],"&lt;="&amp;GamesTable[[#This Row],[No]])</f>
        <v>Group C2</v>
      </c>
      <c r="I15" s="2">
        <f xml:space="preserve"> MATCH(GamesTable[[#This Row],[Team1.English]], CountryLists[English], 0 )</f>
        <v>11</v>
      </c>
      <c r="J15" s="2">
        <f xml:space="preserve"> MATCH( GamesTable[[#This Row],[Team2English]], CountryLists[English], 0 )</f>
        <v>12</v>
      </c>
      <c r="K15" s="101" t="str">
        <f xml:space="preserve"> INDEX(CountryName.Loc,GamesTable[[#This Row],[Team1Num]])</f>
        <v>پرو</v>
      </c>
      <c r="L15" t="str">
        <f xml:space="preserve"> INDEX(CountryName.Loc,GamesTable[[#This Row],[Team2Num]])</f>
        <v>دانمارک</v>
      </c>
    </row>
    <row r="16" spans="1:16" x14ac:dyDescent="0.25">
      <c r="A16" s="2">
        <v>15</v>
      </c>
      <c r="B16" s="2" t="s">
        <v>358</v>
      </c>
      <c r="C16" s="7">
        <v>43272</v>
      </c>
      <c r="D16" t="s">
        <v>343</v>
      </c>
      <c r="E16" t="s">
        <v>18</v>
      </c>
      <c r="F16" t="s">
        <v>193</v>
      </c>
      <c r="G16" s="2" t="s">
        <v>448</v>
      </c>
      <c r="H16" s="2" t="str">
        <f xml:space="preserve"> GamesTable[[#This Row],[Group]] &amp; COUNTIFS(GamesTable[Group],GamesTable[[#This Row],[Group]],GamesTable[No],"&lt;="&amp;GamesTable[[#This Row],[No]])</f>
        <v>Group C3</v>
      </c>
      <c r="I16" s="2">
        <f xml:space="preserve"> MATCH(GamesTable[[#This Row],[Team1.English]], CountryLists[English], 0 )</f>
        <v>9</v>
      </c>
      <c r="J16" s="2">
        <f xml:space="preserve"> MATCH( GamesTable[[#This Row],[Team2English]], CountryLists[English], 0 )</f>
        <v>11</v>
      </c>
      <c r="K16" s="101" t="str">
        <f xml:space="preserve"> INDEX(CountryName.Loc,GamesTable[[#This Row],[Team1Num]])</f>
        <v>فرانسه</v>
      </c>
      <c r="L16" t="str">
        <f xml:space="preserve"> INDEX(CountryName.Loc,GamesTable[[#This Row],[Team2Num]])</f>
        <v>پرو</v>
      </c>
    </row>
    <row r="17" spans="1:12" x14ac:dyDescent="0.25">
      <c r="A17" s="2">
        <v>16</v>
      </c>
      <c r="B17" s="2" t="s">
        <v>358</v>
      </c>
      <c r="C17" s="7">
        <v>43272</v>
      </c>
      <c r="D17" t="s">
        <v>346</v>
      </c>
      <c r="E17" t="s">
        <v>200</v>
      </c>
      <c r="F17" t="s">
        <v>4</v>
      </c>
      <c r="G17" s="2" t="s">
        <v>448</v>
      </c>
      <c r="H17" s="2" t="str">
        <f xml:space="preserve"> GamesTable[[#This Row],[Group]] &amp; COUNTIFS(GamesTable[Group],GamesTable[[#This Row],[Group]],GamesTable[No],"&lt;="&amp;GamesTable[[#This Row],[No]])</f>
        <v>Group C4</v>
      </c>
      <c r="I17" s="2">
        <f xml:space="preserve"> MATCH(GamesTable[[#This Row],[Team1.English]], CountryLists[English], 0 )</f>
        <v>12</v>
      </c>
      <c r="J17" s="2">
        <f xml:space="preserve"> MATCH( GamesTable[[#This Row],[Team2English]], CountryLists[English], 0 )</f>
        <v>10</v>
      </c>
      <c r="K17" s="101" t="str">
        <f xml:space="preserve"> INDEX(CountryName.Loc,GamesTable[[#This Row],[Team1Num]])</f>
        <v>دانمارک</v>
      </c>
      <c r="L17" t="str">
        <f xml:space="preserve"> INDEX(CountryName.Loc,GamesTable[[#This Row],[Team2Num]])</f>
        <v>استرالیا</v>
      </c>
    </row>
    <row r="18" spans="1:12" x14ac:dyDescent="0.25">
      <c r="A18" s="2">
        <v>17</v>
      </c>
      <c r="B18" s="2" t="s">
        <v>357</v>
      </c>
      <c r="C18" s="7">
        <v>43277</v>
      </c>
      <c r="D18" t="s">
        <v>342</v>
      </c>
      <c r="E18" t="s">
        <v>200</v>
      </c>
      <c r="F18" t="s">
        <v>18</v>
      </c>
      <c r="G18" s="2" t="s">
        <v>448</v>
      </c>
      <c r="H18" s="2" t="str">
        <f xml:space="preserve"> GamesTable[[#This Row],[Group]] &amp; COUNTIFS(GamesTable[Group],GamesTable[[#This Row],[Group]],GamesTable[No],"&lt;="&amp;GamesTable[[#This Row],[No]])</f>
        <v>Group C5</v>
      </c>
      <c r="I18" s="2">
        <f xml:space="preserve"> MATCH(GamesTable[[#This Row],[Team1.English]], CountryLists[English], 0 )</f>
        <v>12</v>
      </c>
      <c r="J18" s="2">
        <f xml:space="preserve"> MATCH( GamesTable[[#This Row],[Team2English]], CountryLists[English], 0 )</f>
        <v>9</v>
      </c>
      <c r="K18" s="101" t="str">
        <f xml:space="preserve"> INDEX(CountryName.Loc,GamesTable[[#This Row],[Team1Num]])</f>
        <v>دانمارک</v>
      </c>
      <c r="L18" t="str">
        <f xml:space="preserve"> INDEX(CountryName.Loc,GamesTable[[#This Row],[Team2Num]])</f>
        <v>فرانسه</v>
      </c>
    </row>
    <row r="19" spans="1:12" x14ac:dyDescent="0.25">
      <c r="A19" s="2">
        <v>18</v>
      </c>
      <c r="B19" s="2" t="s">
        <v>357</v>
      </c>
      <c r="C19" s="7">
        <v>43277</v>
      </c>
      <c r="D19" t="s">
        <v>348</v>
      </c>
      <c r="E19" t="s">
        <v>4</v>
      </c>
      <c r="F19" t="s">
        <v>193</v>
      </c>
      <c r="G19" s="2" t="s">
        <v>448</v>
      </c>
      <c r="H19" s="2" t="str">
        <f xml:space="preserve"> GamesTable[[#This Row],[Group]] &amp; COUNTIFS(GamesTable[Group],GamesTable[[#This Row],[Group]],GamesTable[No],"&lt;="&amp;GamesTable[[#This Row],[No]])</f>
        <v>Group C6</v>
      </c>
      <c r="I19" s="2">
        <f xml:space="preserve"> MATCH(GamesTable[[#This Row],[Team1.English]], CountryLists[English], 0 )</f>
        <v>10</v>
      </c>
      <c r="J19" s="2">
        <f xml:space="preserve"> MATCH( GamesTable[[#This Row],[Team2English]], CountryLists[English], 0 )</f>
        <v>11</v>
      </c>
      <c r="K19" s="101" t="str">
        <f xml:space="preserve"> INDEX(CountryName.Loc,GamesTable[[#This Row],[Team1Num]])</f>
        <v>استرالیا</v>
      </c>
      <c r="L19" t="str">
        <f xml:space="preserve"> INDEX(CountryName.Loc,GamesTable[[#This Row],[Team2Num]])</f>
        <v>پرو</v>
      </c>
    </row>
    <row r="20" spans="1:12" x14ac:dyDescent="0.25">
      <c r="A20" s="2">
        <v>19</v>
      </c>
      <c r="B20" s="2" t="s">
        <v>355</v>
      </c>
      <c r="C20" s="7">
        <v>43267</v>
      </c>
      <c r="D20" t="s">
        <v>342</v>
      </c>
      <c r="E20" t="s">
        <v>2</v>
      </c>
      <c r="F20" t="s">
        <v>213</v>
      </c>
      <c r="G20" s="2" t="s">
        <v>449</v>
      </c>
      <c r="H20" s="2" t="str">
        <f xml:space="preserve"> GamesTable[[#This Row],[Group]] &amp; COUNTIFS(GamesTable[Group],GamesTable[[#This Row],[Group]],GamesTable[No],"&lt;="&amp;GamesTable[[#This Row],[No]])</f>
        <v>Group D1</v>
      </c>
      <c r="I20" s="2">
        <f xml:space="preserve"> MATCH(GamesTable[[#This Row],[Team1.English]], CountryLists[English], 0 )</f>
        <v>13</v>
      </c>
      <c r="J20" s="2">
        <f xml:space="preserve"> MATCH( GamesTable[[#This Row],[Team2English]], CountryLists[English], 0 )</f>
        <v>14</v>
      </c>
      <c r="K20" s="101" t="str">
        <f xml:space="preserve"> INDEX(CountryName.Loc,GamesTable[[#This Row],[Team1Num]])</f>
        <v>آرژانتین</v>
      </c>
      <c r="L20" t="str">
        <f xml:space="preserve"> INDEX(CountryName.Loc,GamesTable[[#This Row],[Team2Num]])</f>
        <v>ایسلند</v>
      </c>
    </row>
    <row r="21" spans="1:12" x14ac:dyDescent="0.25">
      <c r="A21" s="2">
        <v>20</v>
      </c>
      <c r="B21" s="2" t="s">
        <v>355</v>
      </c>
      <c r="C21" s="7">
        <v>43267</v>
      </c>
      <c r="D21" t="s">
        <v>351</v>
      </c>
      <c r="E21" t="s">
        <v>14</v>
      </c>
      <c r="F21" t="s">
        <v>28</v>
      </c>
      <c r="G21" s="2" t="s">
        <v>449</v>
      </c>
      <c r="H21" s="2" t="str">
        <f xml:space="preserve"> GamesTable[[#This Row],[Group]] &amp; COUNTIFS(GamesTable[Group],GamesTable[[#This Row],[Group]],GamesTable[No],"&lt;="&amp;GamesTable[[#This Row],[No]])</f>
        <v>Group D2</v>
      </c>
      <c r="I21" s="2">
        <f xml:space="preserve"> MATCH(GamesTable[[#This Row],[Team1.English]], CountryLists[English], 0 )</f>
        <v>15</v>
      </c>
      <c r="J21" s="2">
        <f xml:space="preserve"> MATCH( GamesTable[[#This Row],[Team2English]], CountryLists[English], 0 )</f>
        <v>16</v>
      </c>
      <c r="K21" s="101" t="str">
        <f xml:space="preserve"> INDEX(CountryName.Loc,GamesTable[[#This Row],[Team1Num]])</f>
        <v>کروواسی</v>
      </c>
      <c r="L21" t="str">
        <f xml:space="preserve"> INDEX(CountryName.Loc,GamesTable[[#This Row],[Team2Num]])</f>
        <v>نیجریه</v>
      </c>
    </row>
    <row r="22" spans="1:12" x14ac:dyDescent="0.25">
      <c r="A22" s="2">
        <v>21</v>
      </c>
      <c r="B22" s="2" t="s">
        <v>358</v>
      </c>
      <c r="C22" s="7">
        <v>43272</v>
      </c>
      <c r="D22" t="s">
        <v>352</v>
      </c>
      <c r="E22" t="s">
        <v>2</v>
      </c>
      <c r="F22" t="s">
        <v>14</v>
      </c>
      <c r="G22" s="2" t="s">
        <v>449</v>
      </c>
      <c r="H22" s="2" t="str">
        <f xml:space="preserve"> GamesTable[[#This Row],[Group]] &amp; COUNTIFS(GamesTable[Group],GamesTable[[#This Row],[Group]],GamesTable[No],"&lt;="&amp;GamesTable[[#This Row],[No]])</f>
        <v>Group D3</v>
      </c>
      <c r="I22" s="2">
        <f xml:space="preserve"> MATCH(GamesTable[[#This Row],[Team1.English]], CountryLists[English], 0 )</f>
        <v>13</v>
      </c>
      <c r="J22" s="2">
        <f xml:space="preserve"> MATCH( GamesTable[[#This Row],[Team2English]], CountryLists[English], 0 )</f>
        <v>15</v>
      </c>
      <c r="K22" s="101" t="str">
        <f xml:space="preserve"> INDEX(CountryName.Loc,GamesTable[[#This Row],[Team1Num]])</f>
        <v>آرژانتین</v>
      </c>
      <c r="L22" t="str">
        <f xml:space="preserve"> INDEX(CountryName.Loc,GamesTable[[#This Row],[Team2Num]])</f>
        <v>کروواسی</v>
      </c>
    </row>
    <row r="23" spans="1:12" x14ac:dyDescent="0.25">
      <c r="A23" s="2">
        <v>22</v>
      </c>
      <c r="B23" s="2" t="s">
        <v>359</v>
      </c>
      <c r="C23" s="7">
        <v>43273</v>
      </c>
      <c r="D23" t="s">
        <v>347</v>
      </c>
      <c r="E23" t="s">
        <v>28</v>
      </c>
      <c r="F23" t="s">
        <v>213</v>
      </c>
      <c r="G23" s="2" t="s">
        <v>449</v>
      </c>
      <c r="H23" s="2" t="str">
        <f xml:space="preserve"> GamesTable[[#This Row],[Group]] &amp; COUNTIFS(GamesTable[Group],GamesTable[[#This Row],[Group]],GamesTable[No],"&lt;="&amp;GamesTable[[#This Row],[No]])</f>
        <v>Group D4</v>
      </c>
      <c r="I23" s="2">
        <f xml:space="preserve"> MATCH(GamesTable[[#This Row],[Team1.English]], CountryLists[English], 0 )</f>
        <v>16</v>
      </c>
      <c r="J23" s="2">
        <f xml:space="preserve"> MATCH( GamesTable[[#This Row],[Team2English]], CountryLists[English], 0 )</f>
        <v>14</v>
      </c>
      <c r="K23" s="101" t="str">
        <f xml:space="preserve"> INDEX(CountryName.Loc,GamesTable[[#This Row],[Team1Num]])</f>
        <v>نیجریه</v>
      </c>
      <c r="L23" t="str">
        <f xml:space="preserve"> INDEX(CountryName.Loc,GamesTable[[#This Row],[Team2Num]])</f>
        <v>ایسلند</v>
      </c>
    </row>
    <row r="24" spans="1:12" x14ac:dyDescent="0.25">
      <c r="A24" s="2">
        <v>23</v>
      </c>
      <c r="B24" s="2" t="s">
        <v>357</v>
      </c>
      <c r="C24" s="7">
        <v>43277</v>
      </c>
      <c r="D24" t="s">
        <v>344</v>
      </c>
      <c r="E24" t="s">
        <v>28</v>
      </c>
      <c r="F24" t="s">
        <v>2</v>
      </c>
      <c r="G24" s="2" t="s">
        <v>449</v>
      </c>
      <c r="H24" s="2" t="str">
        <f xml:space="preserve"> GamesTable[[#This Row],[Group]] &amp; COUNTIFS(GamesTable[Group],GamesTable[[#This Row],[Group]],GamesTable[No],"&lt;="&amp;GamesTable[[#This Row],[No]])</f>
        <v>Group D5</v>
      </c>
      <c r="I24" s="2">
        <f xml:space="preserve"> MATCH(GamesTable[[#This Row],[Team1.English]], CountryLists[English], 0 )</f>
        <v>16</v>
      </c>
      <c r="J24" s="2">
        <f xml:space="preserve"> MATCH( GamesTable[[#This Row],[Team2English]], CountryLists[English], 0 )</f>
        <v>13</v>
      </c>
      <c r="K24" s="101" t="str">
        <f xml:space="preserve"> INDEX(CountryName.Loc,GamesTable[[#This Row],[Team1Num]])</f>
        <v>نیجریه</v>
      </c>
      <c r="L24" t="str">
        <f xml:space="preserve"> INDEX(CountryName.Loc,GamesTable[[#This Row],[Team2Num]])</f>
        <v>آرژانتین</v>
      </c>
    </row>
    <row r="25" spans="1:12" x14ac:dyDescent="0.25">
      <c r="A25" s="2">
        <v>24</v>
      </c>
      <c r="B25" s="2" t="s">
        <v>357</v>
      </c>
      <c r="C25" s="7">
        <v>43277</v>
      </c>
      <c r="D25" t="s">
        <v>345</v>
      </c>
      <c r="E25" t="s">
        <v>213</v>
      </c>
      <c r="F25" t="s">
        <v>14</v>
      </c>
      <c r="G25" s="2" t="s">
        <v>449</v>
      </c>
      <c r="H25" s="2" t="str">
        <f xml:space="preserve"> GamesTable[[#This Row],[Group]] &amp; COUNTIFS(GamesTable[Group],GamesTable[[#This Row],[Group]],GamesTable[No],"&lt;="&amp;GamesTable[[#This Row],[No]])</f>
        <v>Group D6</v>
      </c>
      <c r="I25" s="2">
        <f xml:space="preserve"> MATCH(GamesTable[[#This Row],[Team1.English]], CountryLists[English], 0 )</f>
        <v>14</v>
      </c>
      <c r="J25" s="2">
        <f xml:space="preserve"> MATCH( GamesTable[[#This Row],[Team2English]], CountryLists[English], 0 )</f>
        <v>15</v>
      </c>
      <c r="K25" s="101" t="str">
        <f xml:space="preserve"> INDEX(CountryName.Loc,GamesTable[[#This Row],[Team1Num]])</f>
        <v>ایسلند</v>
      </c>
      <c r="L25" t="str">
        <f xml:space="preserve"> INDEX(CountryName.Loc,GamesTable[[#This Row],[Team2Num]])</f>
        <v>کروواسی</v>
      </c>
    </row>
    <row r="26" spans="1:12" x14ac:dyDescent="0.25">
      <c r="A26" s="2">
        <v>25</v>
      </c>
      <c r="B26" s="2" t="s">
        <v>353</v>
      </c>
      <c r="C26" s="7">
        <v>43268</v>
      </c>
      <c r="D26" t="s">
        <v>345</v>
      </c>
      <c r="E26" t="s">
        <v>8</v>
      </c>
      <c r="F26" t="s">
        <v>36</v>
      </c>
      <c r="G26" s="2" t="s">
        <v>450</v>
      </c>
      <c r="H26" s="2" t="str">
        <f xml:space="preserve"> GamesTable[[#This Row],[Group]] &amp; COUNTIFS(GamesTable[Group],GamesTable[[#This Row],[Group]],GamesTable[No],"&lt;="&amp;GamesTable[[#This Row],[No]])</f>
        <v>Group E1</v>
      </c>
      <c r="I26" s="2">
        <f xml:space="preserve"> MATCH(GamesTable[[#This Row],[Team1.English]], CountryLists[English], 0 )</f>
        <v>17</v>
      </c>
      <c r="J26" s="2">
        <f xml:space="preserve"> MATCH( GamesTable[[#This Row],[Team2English]], CountryLists[English], 0 )</f>
        <v>18</v>
      </c>
      <c r="K26" s="101" t="str">
        <f xml:space="preserve"> INDEX(CountryName.Loc,GamesTable[[#This Row],[Team1Num]])</f>
        <v>برزیل</v>
      </c>
      <c r="L26" t="str">
        <f xml:space="preserve"> INDEX(CountryName.Loc,GamesTable[[#This Row],[Team2Num]])</f>
        <v>سوییس</v>
      </c>
    </row>
    <row r="27" spans="1:12" x14ac:dyDescent="0.25">
      <c r="A27" s="2">
        <v>26</v>
      </c>
      <c r="B27" s="2" t="s">
        <v>353</v>
      </c>
      <c r="C27" s="7">
        <v>43268</v>
      </c>
      <c r="D27" t="s">
        <v>346</v>
      </c>
      <c r="E27" t="s">
        <v>12</v>
      </c>
      <c r="F27" t="s">
        <v>250</v>
      </c>
      <c r="G27" s="2" t="s">
        <v>450</v>
      </c>
      <c r="H27" s="2" t="str">
        <f xml:space="preserve"> GamesTable[[#This Row],[Group]] &amp; COUNTIFS(GamesTable[Group],GamesTable[[#This Row],[Group]],GamesTable[No],"&lt;="&amp;GamesTable[[#This Row],[No]])</f>
        <v>Group E2</v>
      </c>
      <c r="I27" s="2">
        <f xml:space="preserve"> MATCH(GamesTable[[#This Row],[Team1.English]], CountryLists[English], 0 )</f>
        <v>19</v>
      </c>
      <c r="J27" s="2">
        <f xml:space="preserve"> MATCH( GamesTable[[#This Row],[Team2English]], CountryLists[English], 0 )</f>
        <v>20</v>
      </c>
      <c r="K27" s="101" t="str">
        <f xml:space="preserve"> INDEX(CountryName.Loc,GamesTable[[#This Row],[Team1Num]])</f>
        <v>کاستاریکا</v>
      </c>
      <c r="L27" t="str">
        <f xml:space="preserve"> INDEX(CountryName.Loc,GamesTable[[#This Row],[Team2Num]])</f>
        <v>صربستان</v>
      </c>
    </row>
    <row r="28" spans="1:12" x14ac:dyDescent="0.25">
      <c r="A28" s="2">
        <v>27</v>
      </c>
      <c r="B28" s="2" t="s">
        <v>359</v>
      </c>
      <c r="C28" s="7">
        <v>43273</v>
      </c>
      <c r="D28" t="s">
        <v>344</v>
      </c>
      <c r="E28" t="s">
        <v>8</v>
      </c>
      <c r="F28" t="s">
        <v>12</v>
      </c>
      <c r="G28" s="2" t="s">
        <v>450</v>
      </c>
      <c r="H28" s="2" t="str">
        <f xml:space="preserve"> GamesTable[[#This Row],[Group]] &amp; COUNTIFS(GamesTable[Group],GamesTable[[#This Row],[Group]],GamesTable[No],"&lt;="&amp;GamesTable[[#This Row],[No]])</f>
        <v>Group E3</v>
      </c>
      <c r="I28" s="2">
        <f xml:space="preserve"> MATCH(GamesTable[[#This Row],[Team1.English]], CountryLists[English], 0 )</f>
        <v>17</v>
      </c>
      <c r="J28" s="2">
        <f xml:space="preserve"> MATCH( GamesTable[[#This Row],[Team2English]], CountryLists[English], 0 )</f>
        <v>19</v>
      </c>
      <c r="K28" s="101" t="str">
        <f xml:space="preserve"> INDEX(CountryName.Loc,GamesTable[[#This Row],[Team1Num]])</f>
        <v>برزیل</v>
      </c>
      <c r="L28" t="str">
        <f xml:space="preserve"> INDEX(CountryName.Loc,GamesTable[[#This Row],[Team2Num]])</f>
        <v>کاستاریکا</v>
      </c>
    </row>
    <row r="29" spans="1:12" x14ac:dyDescent="0.25">
      <c r="A29" s="2">
        <v>28</v>
      </c>
      <c r="B29" s="2" t="s">
        <v>359</v>
      </c>
      <c r="C29" s="7">
        <v>43273</v>
      </c>
      <c r="D29" t="s">
        <v>351</v>
      </c>
      <c r="E29" t="s">
        <v>250</v>
      </c>
      <c r="F29" t="s">
        <v>36</v>
      </c>
      <c r="G29" s="2" t="s">
        <v>450</v>
      </c>
      <c r="H29" s="2" t="str">
        <f xml:space="preserve"> GamesTable[[#This Row],[Group]] &amp; COUNTIFS(GamesTable[Group],GamesTable[[#This Row],[Group]],GamesTable[No],"&lt;="&amp;GamesTable[[#This Row],[No]])</f>
        <v>Group E4</v>
      </c>
      <c r="I29" s="2">
        <f xml:space="preserve"> MATCH(GamesTable[[#This Row],[Team1.English]], CountryLists[English], 0 )</f>
        <v>20</v>
      </c>
      <c r="J29" s="2">
        <f xml:space="preserve"> MATCH( GamesTable[[#This Row],[Team2English]], CountryLists[English], 0 )</f>
        <v>18</v>
      </c>
      <c r="K29" s="101" t="str">
        <f xml:space="preserve"> INDEX(CountryName.Loc,GamesTable[[#This Row],[Team1Num]])</f>
        <v>صربستان</v>
      </c>
      <c r="L29" t="str">
        <f xml:space="preserve"> INDEX(CountryName.Loc,GamesTable[[#This Row],[Team2Num]])</f>
        <v>سوییس</v>
      </c>
    </row>
    <row r="30" spans="1:12" x14ac:dyDescent="0.25">
      <c r="A30" s="2">
        <v>29</v>
      </c>
      <c r="B30" s="2" t="s">
        <v>356</v>
      </c>
      <c r="C30" s="7">
        <v>43278</v>
      </c>
      <c r="D30" t="s">
        <v>342</v>
      </c>
      <c r="E30" t="s">
        <v>250</v>
      </c>
      <c r="F30" t="s">
        <v>8</v>
      </c>
      <c r="G30" s="2" t="s">
        <v>450</v>
      </c>
      <c r="H30" s="2" t="str">
        <f xml:space="preserve"> GamesTable[[#This Row],[Group]] &amp; COUNTIFS(GamesTable[Group],GamesTable[[#This Row],[Group]],GamesTable[No],"&lt;="&amp;GamesTable[[#This Row],[No]])</f>
        <v>Group E5</v>
      </c>
      <c r="I30" s="2">
        <f xml:space="preserve"> MATCH(GamesTable[[#This Row],[Team1.English]], CountryLists[English], 0 )</f>
        <v>20</v>
      </c>
      <c r="J30" s="2">
        <f xml:space="preserve"> MATCH( GamesTable[[#This Row],[Team2English]], CountryLists[English], 0 )</f>
        <v>17</v>
      </c>
      <c r="K30" s="101" t="str">
        <f xml:space="preserve"> INDEX(CountryName.Loc,GamesTable[[#This Row],[Team1Num]])</f>
        <v>صربستان</v>
      </c>
      <c r="L30" t="str">
        <f xml:space="preserve"> INDEX(CountryName.Loc,GamesTable[[#This Row],[Team2Num]])</f>
        <v>برزیل</v>
      </c>
    </row>
    <row r="31" spans="1:12" x14ac:dyDescent="0.25">
      <c r="A31" s="2">
        <v>30</v>
      </c>
      <c r="B31" s="2" t="s">
        <v>356</v>
      </c>
      <c r="C31" s="7">
        <v>43278</v>
      </c>
      <c r="D31" t="s">
        <v>352</v>
      </c>
      <c r="E31" t="s">
        <v>36</v>
      </c>
      <c r="F31" t="s">
        <v>12</v>
      </c>
      <c r="G31" s="2" t="s">
        <v>450</v>
      </c>
      <c r="H31" s="2" t="str">
        <f xml:space="preserve"> GamesTable[[#This Row],[Group]] &amp; COUNTIFS(GamesTable[Group],GamesTable[[#This Row],[Group]],GamesTable[No],"&lt;="&amp;GamesTable[[#This Row],[No]])</f>
        <v>Group E6</v>
      </c>
      <c r="I31" s="2">
        <f xml:space="preserve"> MATCH(GamesTable[[#This Row],[Team1.English]], CountryLists[English], 0 )</f>
        <v>18</v>
      </c>
      <c r="J31" s="2">
        <f xml:space="preserve"> MATCH( GamesTable[[#This Row],[Team2English]], CountryLists[English], 0 )</f>
        <v>19</v>
      </c>
      <c r="K31" s="101" t="str">
        <f xml:space="preserve"> INDEX(CountryName.Loc,GamesTable[[#This Row],[Team1Num]])</f>
        <v>سوییس</v>
      </c>
      <c r="L31" t="str">
        <f xml:space="preserve"> INDEX(CountryName.Loc,GamesTable[[#This Row],[Team2Num]])</f>
        <v>کاستاریکا</v>
      </c>
    </row>
    <row r="32" spans="1:12" x14ac:dyDescent="0.25">
      <c r="A32" s="2">
        <v>31</v>
      </c>
      <c r="B32" s="2" t="s">
        <v>353</v>
      </c>
      <c r="C32" s="7">
        <v>43268</v>
      </c>
      <c r="D32" t="s">
        <v>342</v>
      </c>
      <c r="E32" t="s">
        <v>20</v>
      </c>
      <c r="F32" t="s">
        <v>27</v>
      </c>
      <c r="G32" s="2" t="s">
        <v>451</v>
      </c>
      <c r="H32" s="2" t="str">
        <f xml:space="preserve"> GamesTable[[#This Row],[Group]] &amp; COUNTIFS(GamesTable[Group],GamesTable[[#This Row],[Group]],GamesTable[No],"&lt;="&amp;GamesTable[[#This Row],[No]])</f>
        <v>Group F1</v>
      </c>
      <c r="I32" s="2">
        <f xml:space="preserve"> MATCH(GamesTable[[#This Row],[Team1.English]], CountryLists[English], 0 )</f>
        <v>21</v>
      </c>
      <c r="J32" s="2">
        <f xml:space="preserve"> MATCH( GamesTable[[#This Row],[Team2English]], CountryLists[English], 0 )</f>
        <v>22</v>
      </c>
      <c r="K32" s="101" t="str">
        <f xml:space="preserve"> INDEX(CountryName.Loc,GamesTable[[#This Row],[Team1Num]])</f>
        <v>آلمان</v>
      </c>
      <c r="L32" t="str">
        <f xml:space="preserve"> INDEX(CountryName.Loc,GamesTable[[#This Row],[Team2Num]])</f>
        <v>مکزیک</v>
      </c>
    </row>
    <row r="33" spans="1:12" x14ac:dyDescent="0.25">
      <c r="A33" s="2">
        <v>32</v>
      </c>
      <c r="B33" s="2" t="s">
        <v>354</v>
      </c>
      <c r="C33" s="7">
        <v>43269</v>
      </c>
      <c r="D33" t="s">
        <v>352</v>
      </c>
      <c r="E33" t="s">
        <v>270</v>
      </c>
      <c r="F33" t="s">
        <v>51</v>
      </c>
      <c r="G33" s="2" t="s">
        <v>451</v>
      </c>
      <c r="H33" s="2" t="str">
        <f xml:space="preserve"> GamesTable[[#This Row],[Group]] &amp; COUNTIFS(GamesTable[Group],GamesTable[[#This Row],[Group]],GamesTable[No],"&lt;="&amp;GamesTable[[#This Row],[No]])</f>
        <v>Group F2</v>
      </c>
      <c r="I33" s="2">
        <f xml:space="preserve"> MATCH(GamesTable[[#This Row],[Team1.English]], CountryLists[English], 0 )</f>
        <v>23</v>
      </c>
      <c r="J33" s="2">
        <f xml:space="preserve"> MATCH( GamesTable[[#This Row],[Team2English]], CountryLists[English], 0 )</f>
        <v>24</v>
      </c>
      <c r="K33" s="101" t="str">
        <f xml:space="preserve"> INDEX(CountryName.Loc,GamesTable[[#This Row],[Team1Num]])</f>
        <v>سوئد</v>
      </c>
      <c r="L33" t="str">
        <f xml:space="preserve"> INDEX(CountryName.Loc,GamesTable[[#This Row],[Team2Num]])</f>
        <v>کره جنوبی</v>
      </c>
    </row>
    <row r="34" spans="1:12" x14ac:dyDescent="0.25">
      <c r="A34" s="2">
        <v>33</v>
      </c>
      <c r="B34" s="2" t="s">
        <v>355</v>
      </c>
      <c r="C34" s="7">
        <v>43274</v>
      </c>
      <c r="D34" t="s">
        <v>348</v>
      </c>
      <c r="E34" t="s">
        <v>20</v>
      </c>
      <c r="F34" t="s">
        <v>270</v>
      </c>
      <c r="G34" s="2" t="s">
        <v>451</v>
      </c>
      <c r="H34" s="2" t="str">
        <f xml:space="preserve"> GamesTable[[#This Row],[Group]] &amp; COUNTIFS(GamesTable[Group],GamesTable[[#This Row],[Group]],GamesTable[No],"&lt;="&amp;GamesTable[[#This Row],[No]])</f>
        <v>Group F3</v>
      </c>
      <c r="I34" s="2">
        <f xml:space="preserve"> MATCH(GamesTable[[#This Row],[Team1.English]], CountryLists[English], 0 )</f>
        <v>21</v>
      </c>
      <c r="J34" s="2">
        <f xml:space="preserve"> MATCH( GamesTable[[#This Row],[Team2English]], CountryLists[English], 0 )</f>
        <v>23</v>
      </c>
      <c r="K34" s="101" t="str">
        <f xml:space="preserve"> INDEX(CountryName.Loc,GamesTable[[#This Row],[Team1Num]])</f>
        <v>آلمان</v>
      </c>
      <c r="L34" t="str">
        <f xml:space="preserve"> INDEX(CountryName.Loc,GamesTable[[#This Row],[Team2Num]])</f>
        <v>سوئد</v>
      </c>
    </row>
    <row r="35" spans="1:12" x14ac:dyDescent="0.25">
      <c r="A35" s="2">
        <v>34</v>
      </c>
      <c r="B35" s="2" t="s">
        <v>355</v>
      </c>
      <c r="C35" s="7">
        <v>43274</v>
      </c>
      <c r="D35" t="s">
        <v>345</v>
      </c>
      <c r="E35" t="s">
        <v>51</v>
      </c>
      <c r="F35" t="s">
        <v>27</v>
      </c>
      <c r="G35" s="2" t="s">
        <v>451</v>
      </c>
      <c r="H35" s="2" t="str">
        <f xml:space="preserve"> GamesTable[[#This Row],[Group]] &amp; COUNTIFS(GamesTable[Group],GamesTable[[#This Row],[Group]],GamesTable[No],"&lt;="&amp;GamesTable[[#This Row],[No]])</f>
        <v>Group F4</v>
      </c>
      <c r="I35" s="2">
        <f xml:space="preserve"> MATCH(GamesTable[[#This Row],[Team1.English]], CountryLists[English], 0 )</f>
        <v>24</v>
      </c>
      <c r="J35" s="2">
        <f xml:space="preserve"> MATCH( GamesTable[[#This Row],[Team2English]], CountryLists[English], 0 )</f>
        <v>22</v>
      </c>
      <c r="K35" s="101" t="str">
        <f xml:space="preserve"> INDEX(CountryName.Loc,GamesTable[[#This Row],[Team1Num]])</f>
        <v>کره جنوبی</v>
      </c>
      <c r="L35" t="str">
        <f xml:space="preserve"> INDEX(CountryName.Loc,GamesTable[[#This Row],[Team2Num]])</f>
        <v>مکزیک</v>
      </c>
    </row>
    <row r="36" spans="1:12" x14ac:dyDescent="0.25">
      <c r="A36" s="2">
        <v>35</v>
      </c>
      <c r="B36" s="2" t="s">
        <v>356</v>
      </c>
      <c r="C36" s="7">
        <v>43278</v>
      </c>
      <c r="D36" t="s">
        <v>349</v>
      </c>
      <c r="E36" t="s">
        <v>51</v>
      </c>
      <c r="F36" t="s">
        <v>20</v>
      </c>
      <c r="G36" s="2" t="s">
        <v>451</v>
      </c>
      <c r="H36" s="2" t="str">
        <f xml:space="preserve"> GamesTable[[#This Row],[Group]] &amp; COUNTIFS(GamesTable[Group],GamesTable[[#This Row],[Group]],GamesTable[No],"&lt;="&amp;GamesTable[[#This Row],[No]])</f>
        <v>Group F5</v>
      </c>
      <c r="I36" s="2">
        <f xml:space="preserve"> MATCH(GamesTable[[#This Row],[Team1.English]], CountryLists[English], 0 )</f>
        <v>24</v>
      </c>
      <c r="J36" s="2">
        <f xml:space="preserve"> MATCH( GamesTable[[#This Row],[Team2English]], CountryLists[English], 0 )</f>
        <v>21</v>
      </c>
      <c r="K36" s="101" t="str">
        <f xml:space="preserve"> INDEX(CountryName.Loc,GamesTable[[#This Row],[Team1Num]])</f>
        <v>کره جنوبی</v>
      </c>
      <c r="L36" t="str">
        <f xml:space="preserve"> INDEX(CountryName.Loc,GamesTable[[#This Row],[Team2Num]])</f>
        <v>آلمان</v>
      </c>
    </row>
    <row r="37" spans="1:12" x14ac:dyDescent="0.25">
      <c r="A37" s="2">
        <v>36</v>
      </c>
      <c r="B37" s="2" t="s">
        <v>356</v>
      </c>
      <c r="C37" s="7">
        <v>43278</v>
      </c>
      <c r="D37" t="s">
        <v>343</v>
      </c>
      <c r="E37" t="s">
        <v>27</v>
      </c>
      <c r="F37" t="s">
        <v>270</v>
      </c>
      <c r="G37" s="2" t="s">
        <v>451</v>
      </c>
      <c r="H37" s="2" t="str">
        <f xml:space="preserve"> GamesTable[[#This Row],[Group]] &amp; COUNTIFS(GamesTable[Group],GamesTable[[#This Row],[Group]],GamesTable[No],"&lt;="&amp;GamesTable[[#This Row],[No]])</f>
        <v>Group F6</v>
      </c>
      <c r="I37" s="2">
        <f xml:space="preserve"> MATCH(GamesTable[[#This Row],[Team1.English]], CountryLists[English], 0 )</f>
        <v>22</v>
      </c>
      <c r="J37" s="2">
        <f xml:space="preserve"> MATCH( GamesTable[[#This Row],[Team2English]], CountryLists[English], 0 )</f>
        <v>23</v>
      </c>
      <c r="K37" s="101" t="str">
        <f xml:space="preserve"> INDEX(CountryName.Loc,GamesTable[[#This Row],[Team1Num]])</f>
        <v>مکزیک</v>
      </c>
      <c r="L37" t="str">
        <f xml:space="preserve"> INDEX(CountryName.Loc,GamesTable[[#This Row],[Team2Num]])</f>
        <v>سوئد</v>
      </c>
    </row>
    <row r="38" spans="1:12" x14ac:dyDescent="0.25">
      <c r="A38" s="2">
        <v>37</v>
      </c>
      <c r="B38" s="2" t="s">
        <v>354</v>
      </c>
      <c r="C38" s="7">
        <v>43269</v>
      </c>
      <c r="D38" t="s">
        <v>348</v>
      </c>
      <c r="E38" t="s">
        <v>6</v>
      </c>
      <c r="F38" t="s">
        <v>292</v>
      </c>
      <c r="G38" s="2" t="s">
        <v>452</v>
      </c>
      <c r="H38" s="2" t="str">
        <f xml:space="preserve"> GamesTable[[#This Row],[Group]] &amp; COUNTIFS(GamesTable[Group],GamesTable[[#This Row],[Group]],GamesTable[No],"&lt;="&amp;GamesTable[[#This Row],[No]])</f>
        <v>Group G1</v>
      </c>
      <c r="I38" s="2">
        <f xml:space="preserve"> MATCH(GamesTable[[#This Row],[Team1.English]], CountryLists[English], 0 )</f>
        <v>25</v>
      </c>
      <c r="J38" s="2">
        <f xml:space="preserve"> MATCH( GamesTable[[#This Row],[Team2English]], CountryLists[English], 0 )</f>
        <v>26</v>
      </c>
      <c r="K38" s="101" t="str">
        <f xml:space="preserve"> INDEX(CountryName.Loc,GamesTable[[#This Row],[Team1Num]])</f>
        <v>بلژیک</v>
      </c>
      <c r="L38" t="str">
        <f xml:space="preserve"> INDEX(CountryName.Loc,GamesTable[[#This Row],[Team2Num]])</f>
        <v>پاناما</v>
      </c>
    </row>
    <row r="39" spans="1:12" x14ac:dyDescent="0.25">
      <c r="A39" s="2">
        <v>38</v>
      </c>
      <c r="B39" s="2" t="s">
        <v>354</v>
      </c>
      <c r="C39" s="7">
        <v>43269</v>
      </c>
      <c r="D39" t="s">
        <v>347</v>
      </c>
      <c r="E39" t="s">
        <v>298</v>
      </c>
      <c r="F39" t="s">
        <v>16</v>
      </c>
      <c r="G39" s="2" t="s">
        <v>452</v>
      </c>
      <c r="H39" s="2" t="str">
        <f xml:space="preserve"> GamesTable[[#This Row],[Group]] &amp; COUNTIFS(GamesTable[Group],GamesTable[[#This Row],[Group]],GamesTable[No],"&lt;="&amp;GamesTable[[#This Row],[No]])</f>
        <v>Group G2</v>
      </c>
      <c r="I39" s="2">
        <f xml:space="preserve"> MATCH(GamesTable[[#This Row],[Team1.English]], CountryLists[English], 0 )</f>
        <v>27</v>
      </c>
      <c r="J39" s="2">
        <f xml:space="preserve"> MATCH( GamesTable[[#This Row],[Team2English]], CountryLists[English], 0 )</f>
        <v>28</v>
      </c>
      <c r="K39" s="101" t="str">
        <f xml:space="preserve"> INDEX(CountryName.Loc,GamesTable[[#This Row],[Team1Num]])</f>
        <v>تونس</v>
      </c>
      <c r="L39" t="str">
        <f xml:space="preserve"> INDEX(CountryName.Loc,GamesTable[[#This Row],[Team2Num]])</f>
        <v>انگلستان</v>
      </c>
    </row>
    <row r="40" spans="1:12" x14ac:dyDescent="0.25">
      <c r="A40" s="2">
        <v>39</v>
      </c>
      <c r="B40" s="2" t="s">
        <v>355</v>
      </c>
      <c r="C40" s="7">
        <v>43274</v>
      </c>
      <c r="D40" t="s">
        <v>342</v>
      </c>
      <c r="E40" t="s">
        <v>6</v>
      </c>
      <c r="F40" t="s">
        <v>298</v>
      </c>
      <c r="G40" s="2" t="s">
        <v>452</v>
      </c>
      <c r="H40" s="2" t="str">
        <f xml:space="preserve"> GamesTable[[#This Row],[Group]] &amp; COUNTIFS(GamesTable[Group],GamesTable[[#This Row],[Group]],GamesTable[No],"&lt;="&amp;GamesTable[[#This Row],[No]])</f>
        <v>Group G3</v>
      </c>
      <c r="I40" s="2">
        <f xml:space="preserve"> MATCH(GamesTable[[#This Row],[Team1.English]], CountryLists[English], 0 )</f>
        <v>25</v>
      </c>
      <c r="J40" s="2">
        <f xml:space="preserve"> MATCH( GamesTable[[#This Row],[Team2English]], CountryLists[English], 0 )</f>
        <v>27</v>
      </c>
      <c r="K40" s="101" t="str">
        <f xml:space="preserve"> INDEX(CountryName.Loc,GamesTable[[#This Row],[Team1Num]])</f>
        <v>بلژیک</v>
      </c>
      <c r="L40" t="str">
        <f xml:space="preserve"> INDEX(CountryName.Loc,GamesTable[[#This Row],[Team2Num]])</f>
        <v>تونس</v>
      </c>
    </row>
    <row r="41" spans="1:12" x14ac:dyDescent="0.25">
      <c r="A41" s="2">
        <v>40</v>
      </c>
      <c r="B41" s="2" t="s">
        <v>353</v>
      </c>
      <c r="C41" s="7">
        <v>43275</v>
      </c>
      <c r="D41" t="s">
        <v>352</v>
      </c>
      <c r="E41" t="s">
        <v>16</v>
      </c>
      <c r="F41" t="s">
        <v>292</v>
      </c>
      <c r="G41" s="2" t="s">
        <v>452</v>
      </c>
      <c r="H41" s="2" t="str">
        <f xml:space="preserve"> GamesTable[[#This Row],[Group]] &amp; COUNTIFS(GamesTable[Group],GamesTable[[#This Row],[Group]],GamesTable[No],"&lt;="&amp;GamesTable[[#This Row],[No]])</f>
        <v>Group G4</v>
      </c>
      <c r="I41" s="2">
        <f xml:space="preserve"> MATCH(GamesTable[[#This Row],[Team1.English]], CountryLists[English], 0 )</f>
        <v>28</v>
      </c>
      <c r="J41" s="2">
        <f xml:space="preserve"> MATCH( GamesTable[[#This Row],[Team2English]], CountryLists[English], 0 )</f>
        <v>26</v>
      </c>
      <c r="K41" s="101" t="str">
        <f xml:space="preserve"> INDEX(CountryName.Loc,GamesTable[[#This Row],[Team1Num]])</f>
        <v>انگلستان</v>
      </c>
      <c r="L41" t="str">
        <f xml:space="preserve"> INDEX(CountryName.Loc,GamesTable[[#This Row],[Team2Num]])</f>
        <v>پاناما</v>
      </c>
    </row>
    <row r="42" spans="1:12" x14ac:dyDescent="0.25">
      <c r="A42" s="2">
        <v>41</v>
      </c>
      <c r="B42" s="2" t="s">
        <v>358</v>
      </c>
      <c r="C42" s="7">
        <v>43279</v>
      </c>
      <c r="D42" t="s">
        <v>351</v>
      </c>
      <c r="E42" t="s">
        <v>16</v>
      </c>
      <c r="F42" t="s">
        <v>6</v>
      </c>
      <c r="G42" s="2" t="s">
        <v>452</v>
      </c>
      <c r="H42" s="2" t="str">
        <f xml:space="preserve"> GamesTable[[#This Row],[Group]] &amp; COUNTIFS(GamesTable[Group],GamesTable[[#This Row],[Group]],GamesTable[No],"&lt;="&amp;GamesTable[[#This Row],[No]])</f>
        <v>Group G5</v>
      </c>
      <c r="I42" s="2">
        <f xml:space="preserve"> MATCH(GamesTable[[#This Row],[Team1.English]], CountryLists[English], 0 )</f>
        <v>28</v>
      </c>
      <c r="J42" s="2">
        <f xml:space="preserve"> MATCH( GamesTable[[#This Row],[Team2English]], CountryLists[English], 0 )</f>
        <v>25</v>
      </c>
      <c r="K42" s="101" t="str">
        <f xml:space="preserve"> INDEX(CountryName.Loc,GamesTable[[#This Row],[Team1Num]])</f>
        <v>انگلستان</v>
      </c>
      <c r="L42" t="str">
        <f xml:space="preserve"> INDEX(CountryName.Loc,GamesTable[[#This Row],[Team2Num]])</f>
        <v>بلژیک</v>
      </c>
    </row>
    <row r="43" spans="1:12" x14ac:dyDescent="0.25">
      <c r="A43" s="2">
        <v>42</v>
      </c>
      <c r="B43" s="2" t="s">
        <v>358</v>
      </c>
      <c r="C43" s="7">
        <v>43279</v>
      </c>
      <c r="D43" t="s">
        <v>350</v>
      </c>
      <c r="E43" t="s">
        <v>292</v>
      </c>
      <c r="F43" t="s">
        <v>298</v>
      </c>
      <c r="G43" s="2" t="s">
        <v>452</v>
      </c>
      <c r="H43" s="2" t="str">
        <f xml:space="preserve"> GamesTable[[#This Row],[Group]] &amp; COUNTIFS(GamesTable[Group],GamesTable[[#This Row],[Group]],GamesTable[No],"&lt;="&amp;GamesTable[[#This Row],[No]])</f>
        <v>Group G6</v>
      </c>
      <c r="I43" s="2">
        <f xml:space="preserve"> MATCH(GamesTable[[#This Row],[Team1.English]], CountryLists[English], 0 )</f>
        <v>26</v>
      </c>
      <c r="J43" s="2">
        <f xml:space="preserve"> MATCH( GamesTable[[#This Row],[Team2English]], CountryLists[English], 0 )</f>
        <v>27</v>
      </c>
      <c r="K43" s="101" t="str">
        <f xml:space="preserve"> INDEX(CountryName.Loc,GamesTable[[#This Row],[Team1Num]])</f>
        <v>پاناما</v>
      </c>
      <c r="L43" t="str">
        <f xml:space="preserve"> INDEX(CountryName.Loc,GamesTable[[#This Row],[Team2Num]])</f>
        <v>تونس</v>
      </c>
    </row>
    <row r="44" spans="1:12" x14ac:dyDescent="0.25">
      <c r="A44" s="2">
        <v>43</v>
      </c>
      <c r="B44" s="2" t="s">
        <v>357</v>
      </c>
      <c r="C44" s="7">
        <v>43270</v>
      </c>
      <c r="D44" t="s">
        <v>342</v>
      </c>
      <c r="E44" t="s">
        <v>312</v>
      </c>
      <c r="F44" t="s">
        <v>320</v>
      </c>
      <c r="G44" s="2" t="s">
        <v>453</v>
      </c>
      <c r="H44" s="2" t="str">
        <f xml:space="preserve"> GamesTable[[#This Row],[Group]] &amp; COUNTIFS(GamesTable[Group],GamesTable[[#This Row],[Group]],GamesTable[No],"&lt;="&amp;GamesTable[[#This Row],[No]])</f>
        <v>Group H1</v>
      </c>
      <c r="I44" s="2">
        <f xml:space="preserve"> MATCH(GamesTable[[#This Row],[Team1.English]], CountryLists[English], 0 )</f>
        <v>29</v>
      </c>
      <c r="J44" s="2">
        <f xml:space="preserve"> MATCH( GamesTable[[#This Row],[Team2English]], CountryLists[English], 0 )</f>
        <v>30</v>
      </c>
      <c r="K44" s="101" t="str">
        <f xml:space="preserve"> INDEX(CountryName.Loc,GamesTable[[#This Row],[Team1Num]])</f>
        <v>لهستان</v>
      </c>
      <c r="L44" t="str">
        <f xml:space="preserve"> INDEX(CountryName.Loc,GamesTable[[#This Row],[Team2Num]])</f>
        <v>سنگال</v>
      </c>
    </row>
    <row r="45" spans="1:12" x14ac:dyDescent="0.25">
      <c r="A45" s="2">
        <v>44</v>
      </c>
      <c r="B45" s="2" t="s">
        <v>357</v>
      </c>
      <c r="C45" s="7">
        <v>43270</v>
      </c>
      <c r="D45" t="s">
        <v>350</v>
      </c>
      <c r="E45" t="s">
        <v>10</v>
      </c>
      <c r="F45" t="s">
        <v>24</v>
      </c>
      <c r="G45" s="2" t="s">
        <v>453</v>
      </c>
      <c r="H45" s="2" t="str">
        <f xml:space="preserve"> GamesTable[[#This Row],[Group]] &amp; COUNTIFS(GamesTable[Group],GamesTable[[#This Row],[Group]],GamesTable[No],"&lt;="&amp;GamesTable[[#This Row],[No]])</f>
        <v>Group H2</v>
      </c>
      <c r="I45" s="2">
        <f xml:space="preserve"> MATCH(GamesTable[[#This Row],[Team1.English]], CountryLists[English], 0 )</f>
        <v>31</v>
      </c>
      <c r="J45" s="2">
        <f xml:space="preserve"> MATCH( GamesTable[[#This Row],[Team2English]], CountryLists[English], 0 )</f>
        <v>32</v>
      </c>
      <c r="K45" s="101" t="str">
        <f xml:space="preserve"> INDEX(CountryName.Loc,GamesTable[[#This Row],[Team1Num]])</f>
        <v>کلمبیا</v>
      </c>
      <c r="L45" t="str">
        <f xml:space="preserve"> INDEX(CountryName.Loc,GamesTable[[#This Row],[Team2Num]])</f>
        <v>ژاپن</v>
      </c>
    </row>
    <row r="46" spans="1:12" x14ac:dyDescent="0.25">
      <c r="A46" s="2">
        <v>45</v>
      </c>
      <c r="B46" s="2" t="s">
        <v>353</v>
      </c>
      <c r="C46" s="7">
        <v>43275</v>
      </c>
      <c r="D46" t="s">
        <v>349</v>
      </c>
      <c r="E46" t="s">
        <v>312</v>
      </c>
      <c r="F46" t="s">
        <v>10</v>
      </c>
      <c r="G46" s="2" t="s">
        <v>453</v>
      </c>
      <c r="H46" s="2" t="str">
        <f xml:space="preserve"> GamesTable[[#This Row],[Group]] &amp; COUNTIFS(GamesTable[Group],GamesTable[[#This Row],[Group]],GamesTable[No],"&lt;="&amp;GamesTable[[#This Row],[No]])</f>
        <v>Group H3</v>
      </c>
      <c r="I46" s="2">
        <f xml:space="preserve"> MATCH(GamesTable[[#This Row],[Team1.English]], CountryLists[English], 0 )</f>
        <v>29</v>
      </c>
      <c r="J46" s="2">
        <f xml:space="preserve"> MATCH( GamesTable[[#This Row],[Team2English]], CountryLists[English], 0 )</f>
        <v>31</v>
      </c>
      <c r="K46" s="101" t="str">
        <f xml:space="preserve"> INDEX(CountryName.Loc,GamesTable[[#This Row],[Team1Num]])</f>
        <v>لهستان</v>
      </c>
      <c r="L46" t="str">
        <f xml:space="preserve"> INDEX(CountryName.Loc,GamesTable[[#This Row],[Team2Num]])</f>
        <v>کلمبیا</v>
      </c>
    </row>
    <row r="47" spans="1:12" x14ac:dyDescent="0.25">
      <c r="A47" s="2">
        <v>46</v>
      </c>
      <c r="B47" s="2" t="s">
        <v>353</v>
      </c>
      <c r="C47" s="7">
        <v>43275</v>
      </c>
      <c r="D47" t="s">
        <v>343</v>
      </c>
      <c r="E47" t="s">
        <v>24</v>
      </c>
      <c r="F47" t="s">
        <v>320</v>
      </c>
      <c r="G47" s="2" t="s">
        <v>453</v>
      </c>
      <c r="H47" s="2" t="str">
        <f xml:space="preserve"> GamesTable[[#This Row],[Group]] &amp; COUNTIFS(GamesTable[Group],GamesTable[[#This Row],[Group]],GamesTable[No],"&lt;="&amp;GamesTable[[#This Row],[No]])</f>
        <v>Group H4</v>
      </c>
      <c r="I47" s="2">
        <f xml:space="preserve"> MATCH(GamesTable[[#This Row],[Team1.English]], CountryLists[English], 0 )</f>
        <v>32</v>
      </c>
      <c r="J47" s="2">
        <f xml:space="preserve"> MATCH( GamesTable[[#This Row],[Team2English]], CountryLists[English], 0 )</f>
        <v>30</v>
      </c>
      <c r="K47" s="101" t="str">
        <f xml:space="preserve"> INDEX(CountryName.Loc,GamesTable[[#This Row],[Team1Num]])</f>
        <v>ژاپن</v>
      </c>
      <c r="L47" t="str">
        <f xml:space="preserve"> INDEX(CountryName.Loc,GamesTable[[#This Row],[Team2Num]])</f>
        <v>سنگال</v>
      </c>
    </row>
    <row r="48" spans="1:12" x14ac:dyDescent="0.25">
      <c r="A48" s="2">
        <v>47</v>
      </c>
      <c r="B48" s="2" t="s">
        <v>358</v>
      </c>
      <c r="C48" s="7">
        <v>43279</v>
      </c>
      <c r="D48" t="s">
        <v>347</v>
      </c>
      <c r="E48" t="s">
        <v>24</v>
      </c>
      <c r="F48" t="s">
        <v>312</v>
      </c>
      <c r="G48" s="2" t="s">
        <v>453</v>
      </c>
      <c r="H48" s="2" t="str">
        <f xml:space="preserve"> GamesTable[[#This Row],[Group]] &amp; COUNTIFS(GamesTable[Group],GamesTable[[#This Row],[Group]],GamesTable[No],"&lt;="&amp;GamesTable[[#This Row],[No]])</f>
        <v>Group H5</v>
      </c>
      <c r="I48" s="2">
        <f xml:space="preserve"> MATCH(GamesTable[[#This Row],[Team1.English]], CountryLists[English], 0 )</f>
        <v>32</v>
      </c>
      <c r="J48" s="2">
        <f xml:space="preserve"> MATCH( GamesTable[[#This Row],[Team2English]], CountryLists[English], 0 )</f>
        <v>29</v>
      </c>
      <c r="K48" s="101" t="str">
        <f xml:space="preserve"> INDEX(CountryName.Loc,GamesTable[[#This Row],[Team1Num]])</f>
        <v>ژاپن</v>
      </c>
      <c r="L48" t="str">
        <f xml:space="preserve"> INDEX(CountryName.Loc,GamesTable[[#This Row],[Team2Num]])</f>
        <v>لهستان</v>
      </c>
    </row>
    <row r="49" spans="1:12" x14ac:dyDescent="0.25">
      <c r="A49" s="2">
        <v>48</v>
      </c>
      <c r="B49" s="2" t="s">
        <v>358</v>
      </c>
      <c r="C49" s="7">
        <v>43279</v>
      </c>
      <c r="D49" t="s">
        <v>346</v>
      </c>
      <c r="E49" t="s">
        <v>320</v>
      </c>
      <c r="F49" t="s">
        <v>10</v>
      </c>
      <c r="G49" s="2" t="s">
        <v>453</v>
      </c>
      <c r="H49" s="2" t="str">
        <f xml:space="preserve"> GamesTable[[#This Row],[Group]] &amp; COUNTIFS(GamesTable[Group],GamesTable[[#This Row],[Group]],GamesTable[No],"&lt;="&amp;GamesTable[[#This Row],[No]])</f>
        <v>Group H6</v>
      </c>
      <c r="I49" s="2">
        <f xml:space="preserve"> MATCH(GamesTable[[#This Row],[Team1.English]], CountryLists[English], 0 )</f>
        <v>30</v>
      </c>
      <c r="J49" s="2">
        <f xml:space="preserve"> MATCH( GamesTable[[#This Row],[Team2English]], CountryLists[English], 0 )</f>
        <v>31</v>
      </c>
      <c r="K49" s="101" t="str">
        <f xml:space="preserve"> INDEX(CountryName.Loc,GamesTable[[#This Row],[Team1Num]])</f>
        <v>سنگال</v>
      </c>
      <c r="L49" t="str">
        <f xml:space="preserve"> INDEX(CountryName.Loc,GamesTable[[#This Row],[Team2Num]])</f>
        <v>کلمبیا</v>
      </c>
    </row>
    <row r="51" spans="1:12" x14ac:dyDescent="0.25">
      <c r="A51" s="108" t="s">
        <v>372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130"/>
  <sheetViews>
    <sheetView zoomScaleNormal="100" workbookViewId="0">
      <selection activeCell="F11" sqref="F11"/>
    </sheetView>
  </sheetViews>
  <sheetFormatPr defaultRowHeight="13.8" x14ac:dyDescent="0.25"/>
  <cols>
    <col min="1" max="18" width="15.69921875" customWidth="1"/>
  </cols>
  <sheetData>
    <row r="1" spans="1:18" x14ac:dyDescent="0.25">
      <c r="B1" s="38" t="s">
        <v>52</v>
      </c>
      <c r="C1" s="38" t="s">
        <v>52</v>
      </c>
      <c r="D1" s="38" t="s">
        <v>52</v>
      </c>
      <c r="E1" s="38" t="s">
        <v>52</v>
      </c>
      <c r="F1" s="38" t="s">
        <v>52</v>
      </c>
      <c r="G1" s="38" t="s">
        <v>52</v>
      </c>
      <c r="H1" s="38" t="s">
        <v>52</v>
      </c>
      <c r="I1" s="38" t="s">
        <v>52</v>
      </c>
      <c r="J1" s="38"/>
      <c r="K1" s="38" t="s">
        <v>52</v>
      </c>
      <c r="L1" s="38" t="s">
        <v>52</v>
      </c>
      <c r="M1" s="38" t="s">
        <v>52</v>
      </c>
      <c r="N1" s="38" t="s">
        <v>52</v>
      </c>
      <c r="O1" s="38" t="s">
        <v>52</v>
      </c>
      <c r="P1" s="38" t="s">
        <v>52</v>
      </c>
      <c r="Q1" s="38" t="s">
        <v>52</v>
      </c>
      <c r="R1" s="38" t="s">
        <v>52</v>
      </c>
    </row>
    <row r="2" spans="1:18" ht="30" customHeight="1" thickBot="1" x14ac:dyDescent="0.3">
      <c r="B2" s="39" t="s">
        <v>40</v>
      </c>
      <c r="C2" s="39" t="s">
        <v>42</v>
      </c>
      <c r="D2" s="39" t="s">
        <v>43</v>
      </c>
      <c r="E2" s="39" t="s">
        <v>45</v>
      </c>
      <c r="F2" s="39" t="s">
        <v>46</v>
      </c>
      <c r="G2" s="39" t="s">
        <v>47</v>
      </c>
      <c r="H2" s="39" t="s">
        <v>44</v>
      </c>
      <c r="I2" s="39" t="s">
        <v>48</v>
      </c>
      <c r="J2" s="39" t="s">
        <v>58</v>
      </c>
      <c r="K2" s="40" t="s">
        <v>40</v>
      </c>
      <c r="L2" s="40" t="s">
        <v>42</v>
      </c>
      <c r="M2" s="40" t="s">
        <v>43</v>
      </c>
      <c r="N2" s="40" t="s">
        <v>45</v>
      </c>
      <c r="O2" s="40" t="s">
        <v>46</v>
      </c>
      <c r="P2" s="40" t="s">
        <v>47</v>
      </c>
      <c r="Q2" s="40" t="s">
        <v>44</v>
      </c>
      <c r="R2" s="40" t="s">
        <v>48</v>
      </c>
    </row>
    <row r="3" spans="1:18" ht="19.95" customHeight="1" x14ac:dyDescent="0.4">
      <c r="B3" s="41" t="str">
        <f t="array" ref="B3:I6" xml:space="preserve"> Groups</f>
        <v>روسیه</v>
      </c>
      <c r="C3" s="41" t="str">
        <v>پرتغال</v>
      </c>
      <c r="D3" s="41" t="str">
        <v>فرانسه</v>
      </c>
      <c r="E3" s="41" t="str">
        <v>آرژانتین</v>
      </c>
      <c r="F3" s="41" t="str">
        <v>برزیل</v>
      </c>
      <c r="G3" s="41" t="str">
        <v>آلمان</v>
      </c>
      <c r="H3" s="41" t="str">
        <v>بلژیک</v>
      </c>
      <c r="I3" s="41" t="str">
        <v>لهستان</v>
      </c>
      <c r="J3" s="41" t="str">
        <f>Knockout.concat</f>
        <v>مرحله حذفی</v>
      </c>
      <c r="K3" s="43" t="str">
        <f t="array" ref="K3:R6">Groups</f>
        <v>روسیه</v>
      </c>
      <c r="L3" s="43" t="str">
        <v>پرتغال</v>
      </c>
      <c r="M3" s="43" t="str">
        <v>فرانسه</v>
      </c>
      <c r="N3" s="43" t="str">
        <v>آرژانتین</v>
      </c>
      <c r="O3" s="43" t="str">
        <v>برزیل</v>
      </c>
      <c r="P3" s="43" t="str">
        <v>آلمان</v>
      </c>
      <c r="Q3" s="43" t="str">
        <v>بلژیک</v>
      </c>
      <c r="R3" s="43" t="str">
        <v>لهستان</v>
      </c>
    </row>
    <row r="4" spans="1:18" ht="19.95" customHeight="1" x14ac:dyDescent="0.4">
      <c r="B4" s="42" t="str">
        <v>عربستان</v>
      </c>
      <c r="C4" s="42" t="str">
        <v>اسپانیا</v>
      </c>
      <c r="D4" s="42" t="str">
        <v>استرالیا</v>
      </c>
      <c r="E4" s="42" t="str">
        <v>ایسلند</v>
      </c>
      <c r="F4" s="42" t="str">
        <v>سوییس</v>
      </c>
      <c r="G4" s="42" t="str">
        <v>مکزیک</v>
      </c>
      <c r="H4" s="42" t="str">
        <v>پاناما</v>
      </c>
      <c r="I4" s="42" t="str">
        <v>سنگال</v>
      </c>
      <c r="J4" s="42"/>
      <c r="K4" s="44" t="str">
        <v>عربستان</v>
      </c>
      <c r="L4" s="44" t="str">
        <v>اسپانیا</v>
      </c>
      <c r="M4" s="44" t="str">
        <v>استرالیا</v>
      </c>
      <c r="N4" s="44" t="str">
        <v>ایسلند</v>
      </c>
      <c r="O4" s="44" t="str">
        <v>سوییس</v>
      </c>
      <c r="P4" s="44" t="str">
        <v>مکزیک</v>
      </c>
      <c r="Q4" s="44" t="str">
        <v>پاناما</v>
      </c>
      <c r="R4" s="44" t="str">
        <v>سنگال</v>
      </c>
    </row>
    <row r="5" spans="1:18" ht="19.95" customHeight="1" x14ac:dyDescent="0.4">
      <c r="B5" s="42" t="str">
        <v>مصر</v>
      </c>
      <c r="C5" s="42" t="str">
        <v>مراکش</v>
      </c>
      <c r="D5" s="42" t="str">
        <v>پرو</v>
      </c>
      <c r="E5" s="42" t="str">
        <v>کروواسی</v>
      </c>
      <c r="F5" s="42" t="str">
        <v>کاستاریکا</v>
      </c>
      <c r="G5" s="42" t="str">
        <v>سوئد</v>
      </c>
      <c r="H5" s="42" t="str">
        <v>تونس</v>
      </c>
      <c r="I5" s="42" t="str">
        <v>کلمبیا</v>
      </c>
      <c r="J5" s="42"/>
      <c r="K5" s="44" t="str">
        <v>مصر</v>
      </c>
      <c r="L5" s="44" t="str">
        <v>مراکش</v>
      </c>
      <c r="M5" s="44" t="str">
        <v>پرو</v>
      </c>
      <c r="N5" s="44" t="str">
        <v>کروواسی</v>
      </c>
      <c r="O5" s="44" t="str">
        <v>کاستاریکا</v>
      </c>
      <c r="P5" s="44" t="str">
        <v>سوئد</v>
      </c>
      <c r="Q5" s="44" t="str">
        <v>تونس</v>
      </c>
      <c r="R5" s="44" t="str">
        <v>کلمبیا</v>
      </c>
    </row>
    <row r="6" spans="1:18" ht="19.95" customHeight="1" x14ac:dyDescent="0.4">
      <c r="B6" s="42" t="str">
        <v>اروگوئه</v>
      </c>
      <c r="C6" s="42" t="str">
        <v>ایران</v>
      </c>
      <c r="D6" s="42" t="str">
        <v>دانمارک</v>
      </c>
      <c r="E6" s="42" t="str">
        <v>نیجریه</v>
      </c>
      <c r="F6" s="42" t="str">
        <v>صربستان</v>
      </c>
      <c r="G6" s="42" t="str">
        <v>کره جنوبی</v>
      </c>
      <c r="H6" s="42" t="str">
        <v>انگلستان</v>
      </c>
      <c r="I6" s="42" t="str">
        <v>ژاپن</v>
      </c>
      <c r="J6" s="42"/>
      <c r="K6" s="44" t="str">
        <v>اروگوئه</v>
      </c>
      <c r="L6" s="44" t="str">
        <v>ایران</v>
      </c>
      <c r="M6" s="44" t="str">
        <v>دانمارک</v>
      </c>
      <c r="N6" s="44" t="str">
        <v>نیجریه</v>
      </c>
      <c r="O6" s="44" t="str">
        <v>صربستان</v>
      </c>
      <c r="P6" s="44" t="str">
        <v>کره جنوبی</v>
      </c>
      <c r="Q6" s="44" t="str">
        <v>انگلستان</v>
      </c>
      <c r="R6" s="44" t="str">
        <v>ژاپن</v>
      </c>
    </row>
    <row r="7" spans="1:18" ht="31.95" customHeight="1" x14ac:dyDescent="0.4">
      <c r="K7" s="44"/>
      <c r="L7" s="44"/>
      <c r="M7" s="44"/>
      <c r="N7" s="44"/>
      <c r="O7" s="44"/>
      <c r="P7" s="44"/>
      <c r="Q7" s="44"/>
      <c r="R7" s="44"/>
    </row>
    <row r="10" spans="1:18" ht="14.4" x14ac:dyDescent="0.3">
      <c r="B10" s="45" t="s">
        <v>123</v>
      </c>
      <c r="C10" s="46" t="s">
        <v>125</v>
      </c>
      <c r="D10" s="47">
        <f>MATCH(language.name,language,0)</f>
        <v>2</v>
      </c>
      <c r="F10" s="142" t="str">
        <f>IF(OR(language.idx=2,language.idx=8),"[$-fa-IR,96]ddd m/d","[$-en-US]ddd m/d")</f>
        <v>[$-fa-IR,96]ddd m/d</v>
      </c>
      <c r="H10" s="137" t="s">
        <v>454</v>
      </c>
      <c r="I10" s="136" t="str">
        <f>CHAR(10)</f>
        <v xml:space="preserve">
</v>
      </c>
    </row>
    <row r="13" spans="1:18" x14ac:dyDescent="0.25">
      <c r="B13" s="48">
        <v>1</v>
      </c>
      <c r="C13" s="48">
        <v>2</v>
      </c>
      <c r="D13" s="48">
        <v>3</v>
      </c>
      <c r="E13" s="48">
        <v>4</v>
      </c>
      <c r="F13" s="48">
        <v>5</v>
      </c>
      <c r="G13" s="48">
        <v>6</v>
      </c>
      <c r="H13" s="48">
        <v>7</v>
      </c>
      <c r="I13" s="48">
        <v>8</v>
      </c>
    </row>
    <row r="14" spans="1:18" ht="14.4" x14ac:dyDescent="0.3">
      <c r="A14" s="111" t="s">
        <v>381</v>
      </c>
      <c r="B14" s="35" t="str">
        <f t="array" ref="B14:I17" xml:space="preserve"> INDEX(CountryLists[], 4*(grp-1)+{1;2;3;4}, language.idx)</f>
        <v>روسیه</v>
      </c>
      <c r="C14" s="35" t="str">
        <v>پرتغال</v>
      </c>
      <c r="D14" s="35" t="str">
        <v>فرانسه</v>
      </c>
      <c r="E14" s="35" t="str">
        <v>آرژانتین</v>
      </c>
      <c r="F14" s="35" t="str">
        <v>برزیل</v>
      </c>
      <c r="G14" s="35" t="str">
        <v>آلمان</v>
      </c>
      <c r="H14" s="35" t="str">
        <v>بلژیک</v>
      </c>
      <c r="I14" s="35" t="str">
        <v>لهستان</v>
      </c>
    </row>
    <row r="15" spans="1:18" ht="14.4" x14ac:dyDescent="0.3">
      <c r="A15" s="111" t="s">
        <v>382</v>
      </c>
      <c r="B15" s="36" t="str">
        <v>عربستان</v>
      </c>
      <c r="C15" s="36" t="str">
        <v>اسپانیا</v>
      </c>
      <c r="D15" s="36" t="str">
        <v>استرالیا</v>
      </c>
      <c r="E15" s="36" t="str">
        <v>ایسلند</v>
      </c>
      <c r="F15" s="36" t="str">
        <v>سوییس</v>
      </c>
      <c r="G15" s="36" t="str">
        <v>مکزیک</v>
      </c>
      <c r="H15" s="36" t="str">
        <v>پاناما</v>
      </c>
      <c r="I15" s="36" t="str">
        <v>سنگال</v>
      </c>
    </row>
    <row r="16" spans="1:18" ht="14.4" x14ac:dyDescent="0.3">
      <c r="A16" s="111" t="s">
        <v>385</v>
      </c>
      <c r="B16" s="36" t="str">
        <v>مصر</v>
      </c>
      <c r="C16" s="36" t="str">
        <v>مراکش</v>
      </c>
      <c r="D16" s="36" t="str">
        <v>پرو</v>
      </c>
      <c r="E16" s="36" t="str">
        <v>کروواسی</v>
      </c>
      <c r="F16" s="36" t="str">
        <v>کاستاریکا</v>
      </c>
      <c r="G16" s="36" t="str">
        <v>سوئد</v>
      </c>
      <c r="H16" s="36" t="str">
        <v>تونس</v>
      </c>
      <c r="I16" s="36" t="str">
        <v>کلمبیا</v>
      </c>
    </row>
    <row r="17" spans="1:19" ht="14.4" x14ac:dyDescent="0.3">
      <c r="A17" s="111" t="s">
        <v>386</v>
      </c>
      <c r="B17" s="37" t="str">
        <v>اروگوئه</v>
      </c>
      <c r="C17" s="37" t="str">
        <v>ایران</v>
      </c>
      <c r="D17" s="37" t="str">
        <v>دانمارک</v>
      </c>
      <c r="E17" s="37" t="str">
        <v>نیجریه</v>
      </c>
      <c r="F17" s="37" t="str">
        <v>صربستان</v>
      </c>
      <c r="G17" s="37" t="str">
        <v>کره جنوبی</v>
      </c>
      <c r="H17" s="37" t="str">
        <v>انگلستان</v>
      </c>
      <c r="I17" s="37" t="str">
        <v>ژاپن</v>
      </c>
    </row>
    <row r="18" spans="1:19" x14ac:dyDescent="0.25">
      <c r="B18" s="107" t="s">
        <v>370</v>
      </c>
    </row>
    <row r="19" spans="1:19" x14ac:dyDescent="0.25">
      <c r="B19" s="107"/>
    </row>
    <row r="20" spans="1:19" x14ac:dyDescent="0.25">
      <c r="B20" s="107"/>
    </row>
    <row r="21" spans="1:19" x14ac:dyDescent="0.25">
      <c r="B21" s="107"/>
    </row>
    <row r="22" spans="1:19" x14ac:dyDescent="0.25">
      <c r="B22" s="48">
        <v>1</v>
      </c>
      <c r="C22" s="48">
        <v>2</v>
      </c>
      <c r="D22" s="48">
        <v>3</v>
      </c>
      <c r="E22" s="48">
        <v>4</v>
      </c>
      <c r="F22" s="48">
        <v>5</v>
      </c>
      <c r="G22" s="48">
        <v>6</v>
      </c>
      <c r="H22" s="48">
        <v>7</v>
      </c>
      <c r="I22" s="48">
        <v>8</v>
      </c>
      <c r="J22" s="48" t="s">
        <v>58</v>
      </c>
    </row>
    <row r="23" spans="1:19" ht="14.4" x14ac:dyDescent="0.3">
      <c r="A23" s="111" t="s">
        <v>381</v>
      </c>
      <c r="B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روسیه
عربستان
مصر
اروگوئه</v>
      </c>
      <c r="C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پرتغال
اسپانیا
مراکش
ایران</v>
      </c>
      <c r="D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فرانسه
استرالیا
پرو
دانمارک</v>
      </c>
      <c r="E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آرژانتین
ایسلند
کروواسی
نیجریه</v>
      </c>
      <c r="F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برزیل
سوییس
کاستاریکا
صربستان</v>
      </c>
      <c r="G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آلمان
مکزیک
سوئد
کره جنوبی</v>
      </c>
      <c r="H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بلژیک
پاناما
تونس
انگلستان</v>
      </c>
      <c r="I23" s="175" t="str">
        <f xml:space="preserve"> INDEX(CountryLists[],  4*(grp-1)+1, language.idx) &amp; ¶
&amp; INDEX(CountryLists[], 4*(grp-1)+2, language.idx) &amp; ¶
&amp;  INDEX(CountryLists[], 4*(grp-1)+3, language.idx) &amp; ¶
&amp; INDEX(CountryLists[], 4*(grp-1)+4, language.idx)</f>
        <v>لهستان
سنگال
کلمبیا
ژاپن</v>
      </c>
      <c r="J23" s="172" t="str">
        <f>INDEX(CountryLists[],MATCH("Knockout Stage",CountryLists[English],0),language.idx)</f>
        <v>مرحله حذفی</v>
      </c>
    </row>
    <row r="24" spans="1:19" ht="14.4" x14ac:dyDescent="0.3">
      <c r="A24" s="111" t="s">
        <v>382</v>
      </c>
      <c r="B24" s="176"/>
      <c r="C24" s="176"/>
      <c r="D24" s="176"/>
      <c r="E24" s="176"/>
      <c r="F24" s="176"/>
      <c r="G24" s="176"/>
      <c r="H24" s="176"/>
      <c r="I24" s="176"/>
      <c r="J24" s="173"/>
    </row>
    <row r="25" spans="1:19" ht="14.4" x14ac:dyDescent="0.3">
      <c r="A25" s="111" t="s">
        <v>385</v>
      </c>
      <c r="B25" s="176"/>
      <c r="C25" s="176"/>
      <c r="D25" s="176"/>
      <c r="E25" s="176"/>
      <c r="F25" s="176"/>
      <c r="G25" s="176"/>
      <c r="H25" s="176"/>
      <c r="I25" s="176"/>
      <c r="J25" s="173"/>
    </row>
    <row r="26" spans="1:19" ht="14.4" x14ac:dyDescent="0.3">
      <c r="A26" s="111" t="s">
        <v>386</v>
      </c>
      <c r="B26" s="177"/>
      <c r="C26" s="177"/>
      <c r="D26" s="177"/>
      <c r="E26" s="177"/>
      <c r="F26" s="177"/>
      <c r="G26" s="177"/>
      <c r="H26" s="177"/>
      <c r="I26" s="177"/>
      <c r="J26" s="174"/>
    </row>
    <row r="27" spans="1:19" x14ac:dyDescent="0.25">
      <c r="B27" s="107" t="s">
        <v>370</v>
      </c>
    </row>
    <row r="28" spans="1:19" x14ac:dyDescent="0.25">
      <c r="B28" s="107"/>
    </row>
    <row r="29" spans="1:19" x14ac:dyDescent="0.25">
      <c r="B29" s="107"/>
    </row>
    <row r="31" spans="1:19" x14ac:dyDescent="0.25">
      <c r="B31" t="s">
        <v>125</v>
      </c>
      <c r="C31" t="s">
        <v>481</v>
      </c>
      <c r="D31" t="s">
        <v>464</v>
      </c>
      <c r="E31" t="s">
        <v>480</v>
      </c>
      <c r="F31" t="s">
        <v>126</v>
      </c>
      <c r="G31" s="49" t="s">
        <v>127</v>
      </c>
      <c r="H31" t="s">
        <v>124</v>
      </c>
      <c r="I31" s="49" t="s">
        <v>128</v>
      </c>
      <c r="J31" t="s">
        <v>129</v>
      </c>
      <c r="P31" t="s">
        <v>456</v>
      </c>
      <c r="R31" s="50" t="s">
        <v>130</v>
      </c>
      <c r="S31" s="50" t="s">
        <v>41</v>
      </c>
    </row>
    <row r="32" spans="1:19" x14ac:dyDescent="0.25">
      <c r="A32" s="112" t="s">
        <v>387</v>
      </c>
      <c r="B32" t="s">
        <v>32</v>
      </c>
      <c r="C32" t="s">
        <v>482</v>
      </c>
      <c r="D32" t="s">
        <v>131</v>
      </c>
      <c r="E32" t="s">
        <v>132</v>
      </c>
      <c r="F32" t="s">
        <v>133</v>
      </c>
      <c r="G32" s="49" t="s">
        <v>134</v>
      </c>
      <c r="H32" t="s">
        <v>135</v>
      </c>
      <c r="I32" s="49" t="s">
        <v>136</v>
      </c>
      <c r="J32" t="s">
        <v>137</v>
      </c>
      <c r="P32" s="140" t="s">
        <v>138</v>
      </c>
      <c r="R32" s="51">
        <v>1</v>
      </c>
      <c r="S32" s="52">
        <v>1</v>
      </c>
    </row>
    <row r="33" spans="1:19" x14ac:dyDescent="0.25">
      <c r="A33" s="112" t="s">
        <v>388</v>
      </c>
      <c r="B33" t="s">
        <v>138</v>
      </c>
      <c r="C33" t="s">
        <v>483</v>
      </c>
      <c r="D33" t="s">
        <v>455</v>
      </c>
      <c r="E33" t="s">
        <v>139</v>
      </c>
      <c r="F33" t="s">
        <v>461</v>
      </c>
      <c r="G33" s="49" t="s">
        <v>458</v>
      </c>
      <c r="H33" t="s">
        <v>457</v>
      </c>
      <c r="I33" s="49" t="s">
        <v>143</v>
      </c>
      <c r="J33" t="s">
        <v>459</v>
      </c>
      <c r="P33" s="140" t="s">
        <v>455</v>
      </c>
      <c r="R33" s="51">
        <v>2</v>
      </c>
      <c r="S33" s="52">
        <v>1</v>
      </c>
    </row>
    <row r="34" spans="1:19" x14ac:dyDescent="0.25">
      <c r="A34" s="112" t="s">
        <v>389</v>
      </c>
      <c r="B34" t="s">
        <v>145</v>
      </c>
      <c r="C34" t="s">
        <v>152</v>
      </c>
      <c r="D34" t="s">
        <v>146</v>
      </c>
      <c r="E34" t="s">
        <v>147</v>
      </c>
      <c r="F34" t="s">
        <v>148</v>
      </c>
      <c r="G34" s="49" t="s">
        <v>149</v>
      </c>
      <c r="H34" t="s">
        <v>150</v>
      </c>
      <c r="I34" s="49" t="s">
        <v>151</v>
      </c>
      <c r="J34" t="s">
        <v>152</v>
      </c>
      <c r="P34" s="140" t="s">
        <v>139</v>
      </c>
      <c r="R34" s="51">
        <v>3</v>
      </c>
      <c r="S34" s="52">
        <v>1</v>
      </c>
    </row>
    <row r="35" spans="1:19" x14ac:dyDescent="0.25">
      <c r="A35" s="112" t="s">
        <v>390</v>
      </c>
      <c r="B35" t="s">
        <v>38</v>
      </c>
      <c r="C35" t="s">
        <v>484</v>
      </c>
      <c r="D35" t="s">
        <v>38</v>
      </c>
      <c r="E35" t="s">
        <v>38</v>
      </c>
      <c r="F35" t="s">
        <v>38</v>
      </c>
      <c r="G35" s="49" t="s">
        <v>153</v>
      </c>
      <c r="H35" t="s">
        <v>154</v>
      </c>
      <c r="I35" s="49" t="s">
        <v>155</v>
      </c>
      <c r="J35" t="s">
        <v>156</v>
      </c>
      <c r="P35" s="140" t="s">
        <v>140</v>
      </c>
      <c r="R35" s="51">
        <v>4</v>
      </c>
      <c r="S35" s="52">
        <v>1</v>
      </c>
    </row>
    <row r="36" spans="1:19" x14ac:dyDescent="0.25">
      <c r="A36" s="112" t="s">
        <v>391</v>
      </c>
      <c r="B36" t="s">
        <v>30</v>
      </c>
      <c r="C36" t="s">
        <v>485</v>
      </c>
      <c r="D36" t="s">
        <v>157</v>
      </c>
      <c r="E36" t="s">
        <v>30</v>
      </c>
      <c r="F36" t="s">
        <v>30</v>
      </c>
      <c r="G36" s="49" t="s">
        <v>158</v>
      </c>
      <c r="H36" t="s">
        <v>159</v>
      </c>
      <c r="I36" s="49" t="s">
        <v>160</v>
      </c>
      <c r="J36" t="s">
        <v>161</v>
      </c>
      <c r="P36" s="141" t="s">
        <v>141</v>
      </c>
      <c r="R36" s="53">
        <v>5</v>
      </c>
      <c r="S36" s="54">
        <v>2</v>
      </c>
    </row>
    <row r="37" spans="1:19" x14ac:dyDescent="0.25">
      <c r="A37" s="112" t="s">
        <v>392</v>
      </c>
      <c r="B37" t="s">
        <v>34</v>
      </c>
      <c r="C37" t="s">
        <v>486</v>
      </c>
      <c r="D37" t="s">
        <v>162</v>
      </c>
      <c r="E37" t="s">
        <v>163</v>
      </c>
      <c r="F37" t="s">
        <v>164</v>
      </c>
      <c r="G37" s="49" t="s">
        <v>165</v>
      </c>
      <c r="H37" t="s">
        <v>166</v>
      </c>
      <c r="I37" s="49" t="s">
        <v>167</v>
      </c>
      <c r="J37" t="s">
        <v>168</v>
      </c>
      <c r="P37" s="140" t="s">
        <v>142</v>
      </c>
      <c r="R37" s="53">
        <v>6</v>
      </c>
      <c r="S37" s="54">
        <v>2</v>
      </c>
    </row>
    <row r="38" spans="1:19" x14ac:dyDescent="0.25">
      <c r="A38" s="112" t="s">
        <v>393</v>
      </c>
      <c r="B38" t="s">
        <v>169</v>
      </c>
      <c r="C38" t="s">
        <v>487</v>
      </c>
      <c r="D38" t="s">
        <v>170</v>
      </c>
      <c r="E38" t="s">
        <v>171</v>
      </c>
      <c r="F38" t="s">
        <v>172</v>
      </c>
      <c r="G38" s="49" t="s">
        <v>173</v>
      </c>
      <c r="H38" t="s">
        <v>174</v>
      </c>
      <c r="I38" s="49" t="s">
        <v>175</v>
      </c>
      <c r="J38" t="s">
        <v>176</v>
      </c>
      <c r="P38" s="141" t="s">
        <v>143</v>
      </c>
      <c r="R38" s="53">
        <v>7</v>
      </c>
      <c r="S38" s="54">
        <v>2</v>
      </c>
    </row>
    <row r="39" spans="1:19" x14ac:dyDescent="0.25">
      <c r="A39" s="112" t="s">
        <v>394</v>
      </c>
      <c r="B39" t="s">
        <v>22</v>
      </c>
      <c r="C39" t="s">
        <v>488</v>
      </c>
      <c r="D39" t="s">
        <v>22</v>
      </c>
      <c r="E39" t="s">
        <v>22</v>
      </c>
      <c r="F39" t="s">
        <v>462</v>
      </c>
      <c r="G39" s="49" t="s">
        <v>177</v>
      </c>
      <c r="H39" t="s">
        <v>178</v>
      </c>
      <c r="I39" s="49" t="s">
        <v>179</v>
      </c>
      <c r="J39" t="s">
        <v>180</v>
      </c>
      <c r="P39" s="140" t="s">
        <v>144</v>
      </c>
      <c r="R39" s="53">
        <v>8</v>
      </c>
      <c r="S39" s="54">
        <v>2</v>
      </c>
    </row>
    <row r="40" spans="1:19" x14ac:dyDescent="0.25">
      <c r="A40" s="112" t="s">
        <v>395</v>
      </c>
      <c r="B40" t="s">
        <v>18</v>
      </c>
      <c r="C40" t="s">
        <v>489</v>
      </c>
      <c r="D40" t="s">
        <v>18</v>
      </c>
      <c r="E40" t="s">
        <v>181</v>
      </c>
      <c r="F40" t="s">
        <v>182</v>
      </c>
      <c r="G40" s="49" t="s">
        <v>183</v>
      </c>
      <c r="H40" t="s">
        <v>184</v>
      </c>
      <c r="I40" s="49" t="s">
        <v>185</v>
      </c>
      <c r="J40" t="s">
        <v>186</v>
      </c>
      <c r="R40" s="51">
        <v>9</v>
      </c>
      <c r="S40" s="52">
        <v>3</v>
      </c>
    </row>
    <row r="41" spans="1:19" x14ac:dyDescent="0.25">
      <c r="A41" s="112" t="s">
        <v>396</v>
      </c>
      <c r="B41" t="s">
        <v>4</v>
      </c>
      <c r="C41" t="s">
        <v>490</v>
      </c>
      <c r="D41" t="s">
        <v>187</v>
      </c>
      <c r="E41" t="s">
        <v>188</v>
      </c>
      <c r="F41" t="s">
        <v>4</v>
      </c>
      <c r="G41" s="49" t="s">
        <v>189</v>
      </c>
      <c r="H41" t="s">
        <v>190</v>
      </c>
      <c r="I41" s="49" t="s">
        <v>191</v>
      </c>
      <c r="J41" t="s">
        <v>192</v>
      </c>
      <c r="R41" s="51">
        <v>10</v>
      </c>
      <c r="S41" s="52">
        <v>3</v>
      </c>
    </row>
    <row r="42" spans="1:19" x14ac:dyDescent="0.25">
      <c r="A42" s="112" t="s">
        <v>397</v>
      </c>
      <c r="B42" t="s">
        <v>193</v>
      </c>
      <c r="C42" t="s">
        <v>491</v>
      </c>
      <c r="D42" t="s">
        <v>194</v>
      </c>
      <c r="E42" t="s">
        <v>193</v>
      </c>
      <c r="F42" t="s">
        <v>195</v>
      </c>
      <c r="G42" s="49" t="s">
        <v>196</v>
      </c>
      <c r="H42" t="s">
        <v>197</v>
      </c>
      <c r="I42" s="49" t="s">
        <v>198</v>
      </c>
      <c r="J42" t="s">
        <v>199</v>
      </c>
      <c r="R42" s="51">
        <v>11</v>
      </c>
      <c r="S42" s="52">
        <v>3</v>
      </c>
    </row>
    <row r="43" spans="1:19" x14ac:dyDescent="0.25">
      <c r="A43" s="112" t="s">
        <v>398</v>
      </c>
      <c r="B43" t="s">
        <v>200</v>
      </c>
      <c r="C43" t="s">
        <v>492</v>
      </c>
      <c r="D43" t="s">
        <v>201</v>
      </c>
      <c r="E43" t="s">
        <v>202</v>
      </c>
      <c r="F43" t="s">
        <v>203</v>
      </c>
      <c r="G43" s="49" t="s">
        <v>204</v>
      </c>
      <c r="H43" t="s">
        <v>205</v>
      </c>
      <c r="I43" s="49" t="s">
        <v>206</v>
      </c>
      <c r="J43" t="s">
        <v>207</v>
      </c>
      <c r="R43" s="51">
        <v>12</v>
      </c>
      <c r="S43" s="52">
        <v>3</v>
      </c>
    </row>
    <row r="44" spans="1:19" x14ac:dyDescent="0.25">
      <c r="A44" s="112" t="s">
        <v>399</v>
      </c>
      <c r="B44" t="s">
        <v>2</v>
      </c>
      <c r="C44" t="s">
        <v>493</v>
      </c>
      <c r="D44" t="s">
        <v>208</v>
      </c>
      <c r="E44" t="s">
        <v>209</v>
      </c>
      <c r="F44" t="s">
        <v>2</v>
      </c>
      <c r="G44" s="49" t="s">
        <v>210</v>
      </c>
      <c r="H44" t="s">
        <v>465</v>
      </c>
      <c r="I44" s="49" t="s">
        <v>211</v>
      </c>
      <c r="J44" t="s">
        <v>212</v>
      </c>
      <c r="R44" s="53">
        <v>13</v>
      </c>
      <c r="S44" s="54">
        <v>4</v>
      </c>
    </row>
    <row r="45" spans="1:19" x14ac:dyDescent="0.25">
      <c r="A45" s="112" t="s">
        <v>400</v>
      </c>
      <c r="B45" t="s">
        <v>213</v>
      </c>
      <c r="C45" t="s">
        <v>494</v>
      </c>
      <c r="D45" t="s">
        <v>214</v>
      </c>
      <c r="E45" t="s">
        <v>215</v>
      </c>
      <c r="F45" t="s">
        <v>216</v>
      </c>
      <c r="G45" s="49" t="s">
        <v>217</v>
      </c>
      <c r="H45" t="s">
        <v>218</v>
      </c>
      <c r="I45" s="49" t="s">
        <v>219</v>
      </c>
      <c r="J45" t="s">
        <v>220</v>
      </c>
      <c r="R45" s="53">
        <v>14</v>
      </c>
      <c r="S45" s="54">
        <v>4</v>
      </c>
    </row>
    <row r="46" spans="1:19" x14ac:dyDescent="0.25">
      <c r="A46" s="112" t="s">
        <v>401</v>
      </c>
      <c r="B46" t="s">
        <v>14</v>
      </c>
      <c r="C46" t="s">
        <v>495</v>
      </c>
      <c r="D46" t="s">
        <v>221</v>
      </c>
      <c r="E46" t="s">
        <v>222</v>
      </c>
      <c r="F46" t="s">
        <v>223</v>
      </c>
      <c r="G46" s="49" t="s">
        <v>224</v>
      </c>
      <c r="H46" t="s">
        <v>225</v>
      </c>
      <c r="I46" s="49" t="s">
        <v>226</v>
      </c>
      <c r="J46" t="s">
        <v>227</v>
      </c>
      <c r="R46" s="53">
        <v>15</v>
      </c>
      <c r="S46" s="54">
        <v>4</v>
      </c>
    </row>
    <row r="47" spans="1:19" x14ac:dyDescent="0.25">
      <c r="A47" s="112" t="s">
        <v>402</v>
      </c>
      <c r="B47" t="s">
        <v>28</v>
      </c>
      <c r="C47" t="s">
        <v>496</v>
      </c>
      <c r="D47" t="s">
        <v>28</v>
      </c>
      <c r="E47" t="s">
        <v>28</v>
      </c>
      <c r="F47" t="s">
        <v>28</v>
      </c>
      <c r="G47" s="49" t="s">
        <v>228</v>
      </c>
      <c r="H47" t="s">
        <v>229</v>
      </c>
      <c r="I47" s="49" t="s">
        <v>230</v>
      </c>
      <c r="J47" t="s">
        <v>231</v>
      </c>
      <c r="R47" s="53">
        <v>16</v>
      </c>
      <c r="S47" s="54">
        <v>4</v>
      </c>
    </row>
    <row r="48" spans="1:19" x14ac:dyDescent="0.25">
      <c r="A48" s="112" t="s">
        <v>403</v>
      </c>
      <c r="B48" t="s">
        <v>8</v>
      </c>
      <c r="C48" t="s">
        <v>497</v>
      </c>
      <c r="D48" t="s">
        <v>232</v>
      </c>
      <c r="E48" t="s">
        <v>233</v>
      </c>
      <c r="F48" t="s">
        <v>234</v>
      </c>
      <c r="G48" s="49" t="s">
        <v>235</v>
      </c>
      <c r="H48" t="s">
        <v>236</v>
      </c>
      <c r="I48" s="49" t="s">
        <v>237</v>
      </c>
      <c r="J48" t="s">
        <v>238</v>
      </c>
      <c r="R48" s="51">
        <v>17</v>
      </c>
      <c r="S48" s="52">
        <v>5</v>
      </c>
    </row>
    <row r="49" spans="1:19" x14ac:dyDescent="0.25">
      <c r="A49" s="112" t="s">
        <v>404</v>
      </c>
      <c r="B49" t="s">
        <v>36</v>
      </c>
      <c r="C49" t="s">
        <v>498</v>
      </c>
      <c r="D49" t="s">
        <v>239</v>
      </c>
      <c r="E49" t="s">
        <v>240</v>
      </c>
      <c r="F49" t="s">
        <v>241</v>
      </c>
      <c r="G49" s="49" t="s">
        <v>242</v>
      </c>
      <c r="H49" t="s">
        <v>243</v>
      </c>
      <c r="I49" s="49" t="s">
        <v>244</v>
      </c>
      <c r="J49" t="s">
        <v>245</v>
      </c>
      <c r="R49" s="51">
        <v>18</v>
      </c>
      <c r="S49" s="52">
        <v>5</v>
      </c>
    </row>
    <row r="50" spans="1:19" x14ac:dyDescent="0.25">
      <c r="A50" s="112" t="s">
        <v>405</v>
      </c>
      <c r="B50" t="s">
        <v>12</v>
      </c>
      <c r="C50" t="s">
        <v>499</v>
      </c>
      <c r="D50" t="s">
        <v>12</v>
      </c>
      <c r="E50" t="s">
        <v>12</v>
      </c>
      <c r="F50" t="s">
        <v>12</v>
      </c>
      <c r="G50" s="49" t="s">
        <v>246</v>
      </c>
      <c r="H50" t="s">
        <v>247</v>
      </c>
      <c r="I50" s="49" t="s">
        <v>248</v>
      </c>
      <c r="J50" t="s">
        <v>249</v>
      </c>
      <c r="R50" s="51">
        <v>19</v>
      </c>
      <c r="S50" s="52">
        <v>5</v>
      </c>
    </row>
    <row r="51" spans="1:19" x14ac:dyDescent="0.25">
      <c r="A51" s="112" t="s">
        <v>406</v>
      </c>
      <c r="B51" t="s">
        <v>250</v>
      </c>
      <c r="C51" t="s">
        <v>500</v>
      </c>
      <c r="D51" t="s">
        <v>251</v>
      </c>
      <c r="E51" t="s">
        <v>252</v>
      </c>
      <c r="F51" t="s">
        <v>250</v>
      </c>
      <c r="G51" s="49" t="s">
        <v>253</v>
      </c>
      <c r="H51" t="s">
        <v>254</v>
      </c>
      <c r="I51" s="49" t="s">
        <v>255</v>
      </c>
      <c r="J51" t="s">
        <v>256</v>
      </c>
      <c r="R51" s="51">
        <v>20</v>
      </c>
      <c r="S51" s="52">
        <v>5</v>
      </c>
    </row>
    <row r="52" spans="1:19" x14ac:dyDescent="0.25">
      <c r="A52" s="112" t="s">
        <v>407</v>
      </c>
      <c r="B52" t="s">
        <v>20</v>
      </c>
      <c r="C52" t="s">
        <v>501</v>
      </c>
      <c r="D52" t="s">
        <v>257</v>
      </c>
      <c r="E52" t="s">
        <v>258</v>
      </c>
      <c r="F52" t="s">
        <v>259</v>
      </c>
      <c r="G52" s="49" t="s">
        <v>260</v>
      </c>
      <c r="H52" t="s">
        <v>261</v>
      </c>
      <c r="I52" s="49" t="s">
        <v>262</v>
      </c>
      <c r="J52" t="s">
        <v>263</v>
      </c>
      <c r="R52" s="53">
        <v>21</v>
      </c>
      <c r="S52" s="54">
        <v>6</v>
      </c>
    </row>
    <row r="53" spans="1:19" x14ac:dyDescent="0.25">
      <c r="A53" s="112" t="s">
        <v>408</v>
      </c>
      <c r="B53" t="s">
        <v>27</v>
      </c>
      <c r="C53" t="s">
        <v>502</v>
      </c>
      <c r="D53" t="s">
        <v>264</v>
      </c>
      <c r="E53" t="s">
        <v>265</v>
      </c>
      <c r="F53" t="s">
        <v>463</v>
      </c>
      <c r="G53" s="49" t="s">
        <v>266</v>
      </c>
      <c r="H53" t="s">
        <v>267</v>
      </c>
      <c r="I53" s="49" t="s">
        <v>268</v>
      </c>
      <c r="J53" t="s">
        <v>269</v>
      </c>
      <c r="R53" s="53">
        <v>22</v>
      </c>
      <c r="S53" s="54">
        <v>6</v>
      </c>
    </row>
    <row r="54" spans="1:19" x14ac:dyDescent="0.25">
      <c r="A54" s="112" t="s">
        <v>409</v>
      </c>
      <c r="B54" t="s">
        <v>270</v>
      </c>
      <c r="C54" t="s">
        <v>503</v>
      </c>
      <c r="D54" t="s">
        <v>271</v>
      </c>
      <c r="E54" t="s">
        <v>272</v>
      </c>
      <c r="F54" t="s">
        <v>273</v>
      </c>
      <c r="G54" s="49" t="s">
        <v>274</v>
      </c>
      <c r="H54" t="s">
        <v>275</v>
      </c>
      <c r="I54" s="49" t="s">
        <v>276</v>
      </c>
      <c r="J54" t="s">
        <v>277</v>
      </c>
      <c r="R54" s="53">
        <v>23</v>
      </c>
      <c r="S54" s="54">
        <v>6</v>
      </c>
    </row>
    <row r="55" spans="1:19" x14ac:dyDescent="0.25">
      <c r="A55" s="112" t="s">
        <v>410</v>
      </c>
      <c r="B55" t="s">
        <v>51</v>
      </c>
      <c r="C55" t="s">
        <v>504</v>
      </c>
      <c r="D55" t="s">
        <v>278</v>
      </c>
      <c r="E55" t="s">
        <v>279</v>
      </c>
      <c r="F55" t="s">
        <v>280</v>
      </c>
      <c r="G55" s="49" t="s">
        <v>281</v>
      </c>
      <c r="H55" t="s">
        <v>282</v>
      </c>
      <c r="I55" s="49" t="s">
        <v>283</v>
      </c>
      <c r="J55" t="s">
        <v>284</v>
      </c>
      <c r="R55" s="53">
        <v>24</v>
      </c>
      <c r="S55" s="54">
        <v>6</v>
      </c>
    </row>
    <row r="56" spans="1:19" ht="14.25" customHeight="1" x14ac:dyDescent="0.25">
      <c r="A56" s="112" t="s">
        <v>411</v>
      </c>
      <c r="B56" t="s">
        <v>6</v>
      </c>
      <c r="C56" t="s">
        <v>505</v>
      </c>
      <c r="D56" t="s">
        <v>285</v>
      </c>
      <c r="E56" t="s">
        <v>286</v>
      </c>
      <c r="F56" t="s">
        <v>287</v>
      </c>
      <c r="G56" s="49" t="s">
        <v>288</v>
      </c>
      <c r="H56" t="s">
        <v>289</v>
      </c>
      <c r="I56" s="49" t="s">
        <v>290</v>
      </c>
      <c r="J56" t="s">
        <v>291</v>
      </c>
      <c r="R56" s="51">
        <v>25</v>
      </c>
      <c r="S56" s="52">
        <v>7</v>
      </c>
    </row>
    <row r="57" spans="1:19" x14ac:dyDescent="0.25">
      <c r="A57" s="112" t="s">
        <v>412</v>
      </c>
      <c r="B57" t="s">
        <v>292</v>
      </c>
      <c r="C57" t="s">
        <v>506</v>
      </c>
      <c r="D57" t="s">
        <v>292</v>
      </c>
      <c r="E57" t="s">
        <v>292</v>
      </c>
      <c r="F57" t="s">
        <v>293</v>
      </c>
      <c r="G57" s="49" t="s">
        <v>294</v>
      </c>
      <c r="H57" t="s">
        <v>295</v>
      </c>
      <c r="I57" s="49" t="s">
        <v>296</v>
      </c>
      <c r="J57" t="s">
        <v>297</v>
      </c>
      <c r="R57" s="51">
        <v>26</v>
      </c>
      <c r="S57" s="52">
        <v>7</v>
      </c>
    </row>
    <row r="58" spans="1:19" ht="15" customHeight="1" x14ac:dyDescent="0.25">
      <c r="A58" s="112" t="s">
        <v>413</v>
      </c>
      <c r="B58" t="s">
        <v>298</v>
      </c>
      <c r="C58" t="s">
        <v>305</v>
      </c>
      <c r="D58" t="s">
        <v>299</v>
      </c>
      <c r="E58" t="s">
        <v>300</v>
      </c>
      <c r="F58" t="s">
        <v>301</v>
      </c>
      <c r="G58" s="49" t="s">
        <v>302</v>
      </c>
      <c r="H58" t="s">
        <v>303</v>
      </c>
      <c r="I58" s="49" t="s">
        <v>304</v>
      </c>
      <c r="J58" t="s">
        <v>305</v>
      </c>
      <c r="R58" s="51">
        <v>27</v>
      </c>
      <c r="S58" s="52">
        <v>7</v>
      </c>
    </row>
    <row r="59" spans="1:19" x14ac:dyDescent="0.25">
      <c r="A59" s="112" t="s">
        <v>414</v>
      </c>
      <c r="B59" t="s">
        <v>16</v>
      </c>
      <c r="C59" t="s">
        <v>507</v>
      </c>
      <c r="D59" t="s">
        <v>306</v>
      </c>
      <c r="E59" t="s">
        <v>16</v>
      </c>
      <c r="F59" t="s">
        <v>307</v>
      </c>
      <c r="G59" s="49" t="s">
        <v>308</v>
      </c>
      <c r="H59" t="s">
        <v>309</v>
      </c>
      <c r="I59" s="49" t="s">
        <v>310</v>
      </c>
      <c r="J59" t="s">
        <v>311</v>
      </c>
      <c r="R59" s="51">
        <v>28</v>
      </c>
      <c r="S59" s="52">
        <v>7</v>
      </c>
    </row>
    <row r="60" spans="1:19" x14ac:dyDescent="0.25">
      <c r="A60" s="112" t="s">
        <v>415</v>
      </c>
      <c r="B60" t="s">
        <v>312</v>
      </c>
      <c r="C60" t="s">
        <v>508</v>
      </c>
      <c r="D60" t="s">
        <v>313</v>
      </c>
      <c r="E60" t="s">
        <v>314</v>
      </c>
      <c r="F60" t="s">
        <v>315</v>
      </c>
      <c r="G60" s="49" t="s">
        <v>316</v>
      </c>
      <c r="H60" t="s">
        <v>317</v>
      </c>
      <c r="I60" s="49" t="s">
        <v>318</v>
      </c>
      <c r="J60" t="s">
        <v>319</v>
      </c>
      <c r="R60" s="53">
        <v>29</v>
      </c>
      <c r="S60" s="54">
        <v>8</v>
      </c>
    </row>
    <row r="61" spans="1:19" x14ac:dyDescent="0.25">
      <c r="A61" s="112" t="s">
        <v>416</v>
      </c>
      <c r="B61" t="s">
        <v>320</v>
      </c>
      <c r="C61" t="s">
        <v>509</v>
      </c>
      <c r="D61" t="s">
        <v>321</v>
      </c>
      <c r="E61" t="s">
        <v>320</v>
      </c>
      <c r="F61" t="s">
        <v>320</v>
      </c>
      <c r="G61" s="49" t="s">
        <v>322</v>
      </c>
      <c r="H61" t="s">
        <v>323</v>
      </c>
      <c r="I61" s="49" t="s">
        <v>324</v>
      </c>
      <c r="J61" t="s">
        <v>325</v>
      </c>
      <c r="R61" s="53">
        <v>30</v>
      </c>
      <c r="S61" s="54">
        <v>8</v>
      </c>
    </row>
    <row r="62" spans="1:19" x14ac:dyDescent="0.25">
      <c r="A62" s="112" t="s">
        <v>417</v>
      </c>
      <c r="B62" t="s">
        <v>10</v>
      </c>
      <c r="C62" t="s">
        <v>510</v>
      </c>
      <c r="D62" t="s">
        <v>326</v>
      </c>
      <c r="E62" t="s">
        <v>327</v>
      </c>
      <c r="F62" t="s">
        <v>10</v>
      </c>
      <c r="G62" s="49" t="s">
        <v>328</v>
      </c>
      <c r="H62" t="s">
        <v>329</v>
      </c>
      <c r="I62" s="49" t="s">
        <v>330</v>
      </c>
      <c r="J62" t="s">
        <v>331</v>
      </c>
      <c r="R62" s="53">
        <v>31</v>
      </c>
      <c r="S62" s="54">
        <v>8</v>
      </c>
    </row>
    <row r="63" spans="1:19" x14ac:dyDescent="0.25">
      <c r="A63" s="112" t="s">
        <v>418</v>
      </c>
      <c r="B63" t="s">
        <v>24</v>
      </c>
      <c r="C63" t="s">
        <v>511</v>
      </c>
      <c r="D63" t="s">
        <v>332</v>
      </c>
      <c r="E63" t="s">
        <v>24</v>
      </c>
      <c r="F63" t="s">
        <v>333</v>
      </c>
      <c r="G63" s="49" t="s">
        <v>334</v>
      </c>
      <c r="H63" t="s">
        <v>335</v>
      </c>
      <c r="I63" s="49" t="s">
        <v>336</v>
      </c>
      <c r="J63" t="s">
        <v>337</v>
      </c>
      <c r="R63" s="53">
        <v>32</v>
      </c>
      <c r="S63" s="54">
        <v>8</v>
      </c>
    </row>
    <row r="64" spans="1:19" x14ac:dyDescent="0.25">
      <c r="A64" s="112"/>
      <c r="B64" t="s">
        <v>71</v>
      </c>
      <c r="C64" t="s">
        <v>512</v>
      </c>
      <c r="D64" t="s">
        <v>71</v>
      </c>
      <c r="E64" t="s">
        <v>71</v>
      </c>
      <c r="F64" t="s">
        <v>71</v>
      </c>
      <c r="G64" s="49" t="s">
        <v>71</v>
      </c>
      <c r="H64" t="s">
        <v>71</v>
      </c>
      <c r="I64" s="49" t="s">
        <v>71</v>
      </c>
      <c r="J64" t="s">
        <v>71</v>
      </c>
      <c r="R64" s="33"/>
      <c r="S64" s="33"/>
    </row>
    <row r="65" spans="1:19" x14ac:dyDescent="0.25">
      <c r="A65" s="112"/>
      <c r="B65" t="s">
        <v>66</v>
      </c>
      <c r="C65" t="s">
        <v>513</v>
      </c>
      <c r="D65" t="s">
        <v>66</v>
      </c>
      <c r="E65" t="s">
        <v>66</v>
      </c>
      <c r="F65" t="s">
        <v>66</v>
      </c>
      <c r="G65" s="49" t="s">
        <v>66</v>
      </c>
      <c r="H65" t="s">
        <v>66</v>
      </c>
      <c r="I65" s="49" t="s">
        <v>66</v>
      </c>
      <c r="J65" t="s">
        <v>66</v>
      </c>
      <c r="R65" s="33"/>
      <c r="S65" s="33"/>
    </row>
    <row r="66" spans="1:19" x14ac:dyDescent="0.25">
      <c r="A66" s="112"/>
      <c r="B66" t="s">
        <v>67</v>
      </c>
      <c r="C66" t="s">
        <v>514</v>
      </c>
      <c r="D66" t="s">
        <v>67</v>
      </c>
      <c r="E66" t="s">
        <v>67</v>
      </c>
      <c r="F66" t="s">
        <v>67</v>
      </c>
      <c r="G66" s="49" t="s">
        <v>67</v>
      </c>
      <c r="H66" t="s">
        <v>67</v>
      </c>
      <c r="I66" s="49" t="s">
        <v>67</v>
      </c>
      <c r="J66" t="s">
        <v>67</v>
      </c>
      <c r="R66" s="33"/>
      <c r="S66" s="33"/>
    </row>
    <row r="67" spans="1:19" x14ac:dyDescent="0.25">
      <c r="A67" s="112"/>
      <c r="B67" t="s">
        <v>68</v>
      </c>
      <c r="C67" t="s">
        <v>521</v>
      </c>
      <c r="D67" t="s">
        <v>68</v>
      </c>
      <c r="E67" t="s">
        <v>68</v>
      </c>
      <c r="F67" t="s">
        <v>68</v>
      </c>
      <c r="G67" s="49" t="s">
        <v>68</v>
      </c>
      <c r="H67" t="s">
        <v>68</v>
      </c>
      <c r="I67" s="49" t="s">
        <v>68</v>
      </c>
      <c r="J67" t="s">
        <v>68</v>
      </c>
      <c r="R67" s="33"/>
      <c r="S67" s="33"/>
    </row>
    <row r="68" spans="1:19" x14ac:dyDescent="0.25">
      <c r="A68" s="112"/>
      <c r="B68" t="s">
        <v>69</v>
      </c>
      <c r="C68" t="s">
        <v>515</v>
      </c>
      <c r="D68" t="s">
        <v>69</v>
      </c>
      <c r="E68" t="s">
        <v>69</v>
      </c>
      <c r="F68" t="s">
        <v>69</v>
      </c>
      <c r="G68" s="49" t="s">
        <v>69</v>
      </c>
      <c r="H68" t="s">
        <v>69</v>
      </c>
      <c r="I68" s="49" t="s">
        <v>69</v>
      </c>
      <c r="J68" t="s">
        <v>69</v>
      </c>
      <c r="R68" s="33"/>
      <c r="S68" s="33"/>
    </row>
    <row r="69" spans="1:19" x14ac:dyDescent="0.25">
      <c r="A69" s="112"/>
      <c r="B69" t="s">
        <v>70</v>
      </c>
      <c r="C69" t="s">
        <v>516</v>
      </c>
      <c r="D69" t="s">
        <v>70</v>
      </c>
      <c r="E69" t="s">
        <v>70</v>
      </c>
      <c r="F69" t="s">
        <v>70</v>
      </c>
      <c r="G69" s="49" t="s">
        <v>70</v>
      </c>
      <c r="H69" t="s">
        <v>70</v>
      </c>
      <c r="I69" s="49" t="s">
        <v>70</v>
      </c>
      <c r="J69" t="s">
        <v>70</v>
      </c>
      <c r="R69" s="33"/>
      <c r="S69" s="33"/>
    </row>
    <row r="70" spans="1:19" x14ac:dyDescent="0.25">
      <c r="A70" s="112"/>
      <c r="B70" t="s">
        <v>517</v>
      </c>
      <c r="C70" t="s">
        <v>519</v>
      </c>
      <c r="D70" t="s">
        <v>517</v>
      </c>
      <c r="E70" t="s">
        <v>517</v>
      </c>
      <c r="F70" t="s">
        <v>517</v>
      </c>
      <c r="G70" s="49" t="s">
        <v>517</v>
      </c>
      <c r="H70" t="s">
        <v>517</v>
      </c>
      <c r="I70" s="49" t="s">
        <v>517</v>
      </c>
      <c r="J70" t="s">
        <v>517</v>
      </c>
      <c r="R70" s="33"/>
      <c r="S70" s="33"/>
    </row>
    <row r="71" spans="1:19" x14ac:dyDescent="0.25">
      <c r="A71" s="112"/>
      <c r="B71" t="s">
        <v>518</v>
      </c>
      <c r="C71" t="s">
        <v>520</v>
      </c>
      <c r="D71" t="s">
        <v>518</v>
      </c>
      <c r="E71" t="s">
        <v>518</v>
      </c>
      <c r="F71" t="s">
        <v>518</v>
      </c>
      <c r="G71" s="49" t="s">
        <v>518</v>
      </c>
      <c r="H71" t="s">
        <v>518</v>
      </c>
      <c r="I71" s="49" t="s">
        <v>518</v>
      </c>
      <c r="J71" t="s">
        <v>518</v>
      </c>
      <c r="R71" s="33"/>
      <c r="S71" s="33"/>
    </row>
    <row r="72" spans="1:19" x14ac:dyDescent="0.25">
      <c r="A72" s="112"/>
      <c r="B72" t="s">
        <v>522</v>
      </c>
      <c r="C72" t="s">
        <v>523</v>
      </c>
      <c r="D72" t="s">
        <v>522</v>
      </c>
      <c r="E72" t="s">
        <v>522</v>
      </c>
      <c r="F72" t="s">
        <v>522</v>
      </c>
      <c r="G72" s="49" t="s">
        <v>522</v>
      </c>
      <c r="H72" t="s">
        <v>522</v>
      </c>
      <c r="I72" s="49" t="s">
        <v>522</v>
      </c>
      <c r="J72" t="s">
        <v>522</v>
      </c>
      <c r="R72" s="33"/>
      <c r="S72" s="33"/>
    </row>
    <row r="73" spans="1:19" x14ac:dyDescent="0.25">
      <c r="A73" s="112"/>
      <c r="F73" s="49"/>
      <c r="H73" s="49"/>
      <c r="R73" s="33"/>
      <c r="S73" s="33"/>
    </row>
    <row r="74" spans="1:19" x14ac:dyDescent="0.25">
      <c r="A74" s="112"/>
      <c r="F74" s="49"/>
      <c r="H74" s="49"/>
      <c r="R74" s="33"/>
      <c r="S74" s="33"/>
    </row>
    <row r="75" spans="1:19" x14ac:dyDescent="0.25">
      <c r="A75" s="112"/>
      <c r="F75" s="49"/>
      <c r="H75" s="49"/>
      <c r="R75" s="33"/>
      <c r="S75" s="33"/>
    </row>
    <row r="76" spans="1:19" x14ac:dyDescent="0.25">
      <c r="A76" s="112"/>
      <c r="F76" s="49"/>
      <c r="H76" s="49"/>
      <c r="R76" s="33"/>
      <c r="S76" s="33"/>
    </row>
    <row r="77" spans="1:19" x14ac:dyDescent="0.25">
      <c r="A77" s="112"/>
      <c r="F77" s="49"/>
      <c r="H77" s="49"/>
      <c r="R77" s="33"/>
      <c r="S77" s="33"/>
    </row>
    <row r="78" spans="1:19" x14ac:dyDescent="0.25">
      <c r="A78" s="112"/>
      <c r="F78" s="49"/>
      <c r="H78" s="49"/>
      <c r="R78" s="33"/>
      <c r="S78" s="33"/>
    </row>
    <row r="79" spans="1:19" x14ac:dyDescent="0.25">
      <c r="A79" s="112"/>
      <c r="F79" s="49"/>
      <c r="H79" s="49"/>
      <c r="R79" s="33"/>
      <c r="S79" s="33"/>
    </row>
    <row r="80" spans="1:19" x14ac:dyDescent="0.25">
      <c r="B80" s="107" t="s">
        <v>367</v>
      </c>
      <c r="F80" s="49"/>
      <c r="H80" s="49"/>
      <c r="Q80" s="107" t="s">
        <v>371</v>
      </c>
    </row>
    <row r="82" spans="1:9" x14ac:dyDescent="0.25">
      <c r="B82" s="48">
        <v>1</v>
      </c>
      <c r="C82" s="48">
        <v>2</v>
      </c>
      <c r="D82" s="48">
        <v>3</v>
      </c>
      <c r="E82" s="48">
        <v>4</v>
      </c>
      <c r="F82" s="48">
        <v>5</v>
      </c>
      <c r="G82" s="48">
        <v>6</v>
      </c>
      <c r="H82" s="48">
        <v>7</v>
      </c>
      <c r="I82" s="48">
        <v>8</v>
      </c>
    </row>
    <row r="83" spans="1:9" x14ac:dyDescent="0.25">
      <c r="A83" s="112" t="s">
        <v>419</v>
      </c>
      <c r="B83" s="35" t="str">
        <f t="array" ref="B83:I86" xml:space="preserve"> INDEX(CountryLists[], 4*(grp-1)+{1;2;3;4}, 1)</f>
        <v>Russia</v>
      </c>
      <c r="C83" s="35" t="str">
        <v>Portugal</v>
      </c>
      <c r="D83" s="35" t="str">
        <v>France</v>
      </c>
      <c r="E83" s="35" t="str">
        <v>Argentina</v>
      </c>
      <c r="F83" s="35" t="str">
        <v>Brazil</v>
      </c>
      <c r="G83" s="35" t="str">
        <v>Germany</v>
      </c>
      <c r="H83" s="35" t="str">
        <v>Belgium</v>
      </c>
      <c r="I83" s="35" t="str">
        <v>Poland</v>
      </c>
    </row>
    <row r="84" spans="1:9" ht="14.4" x14ac:dyDescent="0.3">
      <c r="A84" s="111" t="s">
        <v>381</v>
      </c>
      <c r="B84" s="36" t="str">
        <v>Saudi Arabia</v>
      </c>
      <c r="C84" s="36" t="str">
        <v>Spain</v>
      </c>
      <c r="D84" s="36" t="str">
        <v>Australia</v>
      </c>
      <c r="E84" s="36" t="str">
        <v>Iceland</v>
      </c>
      <c r="F84" s="36" t="str">
        <v>Switzerland</v>
      </c>
      <c r="G84" s="36" t="str">
        <v>Mexico</v>
      </c>
      <c r="H84" s="36" t="str">
        <v>Panama</v>
      </c>
      <c r="I84" s="36" t="str">
        <v>Senegal</v>
      </c>
    </row>
    <row r="85" spans="1:9" ht="14.4" x14ac:dyDescent="0.3">
      <c r="A85" s="111" t="s">
        <v>382</v>
      </c>
      <c r="B85" s="36" t="str">
        <v>Egypt</v>
      </c>
      <c r="C85" s="36" t="str">
        <v>Morocco</v>
      </c>
      <c r="D85" s="36" t="str">
        <v>Peru</v>
      </c>
      <c r="E85" s="36" t="str">
        <v>Croatia</v>
      </c>
      <c r="F85" s="36" t="str">
        <v>Costa Rica</v>
      </c>
      <c r="G85" s="36" t="str">
        <v>Sweden</v>
      </c>
      <c r="H85" s="36" t="str">
        <v>Tunisia</v>
      </c>
      <c r="I85" s="36" t="str">
        <v>Colombia</v>
      </c>
    </row>
    <row r="86" spans="1:9" ht="14.4" x14ac:dyDescent="0.3">
      <c r="A86" s="111" t="s">
        <v>385</v>
      </c>
      <c r="B86" s="37" t="str">
        <v>Uruguay</v>
      </c>
      <c r="C86" s="37" t="str">
        <v>Iran</v>
      </c>
      <c r="D86" s="37" t="str">
        <v>Denmark</v>
      </c>
      <c r="E86" s="37" t="str">
        <v>Nigeria</v>
      </c>
      <c r="F86" s="37" t="str">
        <v>Serbia</v>
      </c>
      <c r="G86" s="37" t="str">
        <v>South Korea</v>
      </c>
      <c r="H86" s="37" t="str">
        <v>England</v>
      </c>
      <c r="I86" s="37" t="str">
        <v>Japan</v>
      </c>
    </row>
    <row r="87" spans="1:9" ht="14.4" x14ac:dyDescent="0.3">
      <c r="A87" s="111" t="s">
        <v>386</v>
      </c>
      <c r="B87" s="107" t="s">
        <v>368</v>
      </c>
    </row>
    <row r="89" spans="1:9" x14ac:dyDescent="0.25">
      <c r="B89" s="48">
        <v>1</v>
      </c>
      <c r="C89" s="48">
        <v>2</v>
      </c>
      <c r="D89" s="48">
        <v>3</v>
      </c>
      <c r="E89" s="48">
        <v>4</v>
      </c>
      <c r="F89" s="48">
        <v>5</v>
      </c>
      <c r="G89" s="48">
        <v>6</v>
      </c>
      <c r="H89" s="48">
        <v>7</v>
      </c>
      <c r="I89" s="48">
        <v>8</v>
      </c>
    </row>
    <row r="90" spans="1:9" ht="14.4" x14ac:dyDescent="0.3">
      <c r="A90" s="113" t="s">
        <v>420</v>
      </c>
      <c r="B90" s="35">
        <f t="array" ref="B90:I93" xml:space="preserve"> MATCH( Groups.English, country.name)</f>
        <v>23</v>
      </c>
      <c r="C90" s="35">
        <v>22</v>
      </c>
      <c r="D90" s="35">
        <v>11</v>
      </c>
      <c r="E90" s="35">
        <v>1</v>
      </c>
      <c r="F90" s="35">
        <v>4</v>
      </c>
      <c r="G90" s="35">
        <v>12</v>
      </c>
      <c r="H90" s="35">
        <v>3</v>
      </c>
      <c r="I90" s="35">
        <v>21</v>
      </c>
    </row>
    <row r="91" spans="1:9" ht="14.4" x14ac:dyDescent="0.3">
      <c r="A91" s="111" t="s">
        <v>381</v>
      </c>
      <c r="B91" s="36">
        <v>24</v>
      </c>
      <c r="C91" s="36">
        <v>28</v>
      </c>
      <c r="D91" s="36">
        <v>2</v>
      </c>
      <c r="E91" s="36">
        <v>13</v>
      </c>
      <c r="F91" s="36">
        <v>30</v>
      </c>
      <c r="G91" s="36">
        <v>16</v>
      </c>
      <c r="H91" s="36">
        <v>19</v>
      </c>
      <c r="I91" s="36">
        <v>25</v>
      </c>
    </row>
    <row r="92" spans="1:9" ht="14.4" x14ac:dyDescent="0.3">
      <c r="A92" s="111" t="s">
        <v>382</v>
      </c>
      <c r="B92" s="36">
        <v>9</v>
      </c>
      <c r="C92" s="36">
        <v>17</v>
      </c>
      <c r="D92" s="36">
        <v>20</v>
      </c>
      <c r="E92" s="36">
        <v>7</v>
      </c>
      <c r="F92" s="36">
        <v>6</v>
      </c>
      <c r="G92" s="36">
        <v>29</v>
      </c>
      <c r="H92" s="36">
        <v>31</v>
      </c>
      <c r="I92" s="36">
        <v>5</v>
      </c>
    </row>
    <row r="93" spans="1:9" ht="14.4" x14ac:dyDescent="0.3">
      <c r="A93" s="111" t="s">
        <v>385</v>
      </c>
      <c r="B93" s="37">
        <v>32</v>
      </c>
      <c r="C93" s="37">
        <v>14</v>
      </c>
      <c r="D93" s="37">
        <v>8</v>
      </c>
      <c r="E93" s="37">
        <v>18</v>
      </c>
      <c r="F93" s="37">
        <v>26</v>
      </c>
      <c r="G93" s="37">
        <v>27</v>
      </c>
      <c r="H93" s="37">
        <v>10</v>
      </c>
      <c r="I93" s="37">
        <v>15</v>
      </c>
    </row>
    <row r="94" spans="1:9" ht="14.4" x14ac:dyDescent="0.3">
      <c r="A94" s="111" t="s">
        <v>386</v>
      </c>
      <c r="B94" s="107" t="s">
        <v>369</v>
      </c>
    </row>
    <row r="96" spans="1:9" x14ac:dyDescent="0.25">
      <c r="B96" s="114">
        <v>1</v>
      </c>
      <c r="C96" s="114">
        <v>2</v>
      </c>
      <c r="D96" s="114">
        <v>3</v>
      </c>
      <c r="E96" s="114">
        <v>4</v>
      </c>
      <c r="F96" s="114">
        <v>5</v>
      </c>
      <c r="G96" s="114">
        <v>6</v>
      </c>
      <c r="H96" s="114">
        <v>7</v>
      </c>
      <c r="I96" s="114">
        <v>8</v>
      </c>
    </row>
    <row r="97" spans="1:9" ht="14.4" x14ac:dyDescent="0.3">
      <c r="A97" s="113" t="s">
        <v>0</v>
      </c>
      <c r="B97" s="35" t="str">
        <f t="array" ref="B97:I102" xml:space="preserve"> INDEX( GamesTable[Team1], 6*(grp-1)+{1;2;3;4;5;6}, 1 )</f>
        <v>روسیه</v>
      </c>
      <c r="C97" s="35" t="str">
        <v>پرتغال</v>
      </c>
      <c r="D97" s="35" t="str">
        <v>فرانسه</v>
      </c>
      <c r="E97" s="35" t="str">
        <v>آرژانتین</v>
      </c>
      <c r="F97" s="35" t="str">
        <v>برزیل</v>
      </c>
      <c r="G97" s="35" t="str">
        <v>آلمان</v>
      </c>
      <c r="H97" s="35" t="str">
        <v>بلژیک</v>
      </c>
      <c r="I97" s="35" t="str">
        <v>لهستان</v>
      </c>
    </row>
    <row r="98" spans="1:9" ht="14.4" x14ac:dyDescent="0.3">
      <c r="A98" s="111" t="s">
        <v>421</v>
      </c>
      <c r="B98" s="36" t="str">
        <v>مصر</v>
      </c>
      <c r="C98" s="36" t="str">
        <v>مراکش</v>
      </c>
      <c r="D98" s="36" t="str">
        <v>پرو</v>
      </c>
      <c r="E98" s="36" t="str">
        <v>کروواسی</v>
      </c>
      <c r="F98" s="36" t="str">
        <v>کاستاریکا</v>
      </c>
      <c r="G98" s="36" t="str">
        <v>سوئد</v>
      </c>
      <c r="H98" s="36" t="str">
        <v>تونس</v>
      </c>
      <c r="I98" s="36" t="str">
        <v>کلمبیا</v>
      </c>
    </row>
    <row r="99" spans="1:9" ht="14.4" x14ac:dyDescent="0.3">
      <c r="A99" s="111" t="s">
        <v>422</v>
      </c>
      <c r="B99" s="36" t="str">
        <v>روسیه</v>
      </c>
      <c r="C99" s="36" t="str">
        <v>پرتغال</v>
      </c>
      <c r="D99" s="36" t="str">
        <v>فرانسه</v>
      </c>
      <c r="E99" s="36" t="str">
        <v>آرژانتین</v>
      </c>
      <c r="F99" s="36" t="str">
        <v>برزیل</v>
      </c>
      <c r="G99" s="36" t="str">
        <v>آلمان</v>
      </c>
      <c r="H99" s="36" t="str">
        <v>بلژیک</v>
      </c>
      <c r="I99" s="36" t="str">
        <v>لهستان</v>
      </c>
    </row>
    <row r="100" spans="1:9" ht="14.4" x14ac:dyDescent="0.3">
      <c r="A100" s="111" t="s">
        <v>423</v>
      </c>
      <c r="B100" s="36" t="str">
        <v>اروگوئه</v>
      </c>
      <c r="C100" s="36" t="str">
        <v>ایران</v>
      </c>
      <c r="D100" s="36" t="str">
        <v>دانمارک</v>
      </c>
      <c r="E100" s="36" t="str">
        <v>نیجریه</v>
      </c>
      <c r="F100" s="36" t="str">
        <v>صربستان</v>
      </c>
      <c r="G100" s="36" t="str">
        <v>کره جنوبی</v>
      </c>
      <c r="H100" s="36" t="str">
        <v>انگلستان</v>
      </c>
      <c r="I100" s="36" t="str">
        <v>ژاپن</v>
      </c>
    </row>
    <row r="101" spans="1:9" ht="14.4" x14ac:dyDescent="0.3">
      <c r="A101" s="111" t="s">
        <v>424</v>
      </c>
      <c r="B101" s="36" t="str">
        <v>اروگوئه</v>
      </c>
      <c r="C101" s="36" t="str">
        <v>ایران</v>
      </c>
      <c r="D101" s="36" t="str">
        <v>دانمارک</v>
      </c>
      <c r="E101" s="36" t="str">
        <v>نیجریه</v>
      </c>
      <c r="F101" s="36" t="str">
        <v>صربستان</v>
      </c>
      <c r="G101" s="36" t="str">
        <v>کره جنوبی</v>
      </c>
      <c r="H101" s="36" t="str">
        <v>انگلستان</v>
      </c>
      <c r="I101" s="36" t="str">
        <v>ژاپن</v>
      </c>
    </row>
    <row r="102" spans="1:9" ht="14.4" x14ac:dyDescent="0.3">
      <c r="A102" s="111" t="s">
        <v>425</v>
      </c>
      <c r="B102" s="37" t="str">
        <v>عربستان</v>
      </c>
      <c r="C102" s="37" t="str">
        <v>اسپانیا</v>
      </c>
      <c r="D102" s="37" t="str">
        <v>استرالیا</v>
      </c>
      <c r="E102" s="37" t="str">
        <v>ایسلند</v>
      </c>
      <c r="F102" s="37" t="str">
        <v>سوییس</v>
      </c>
      <c r="G102" s="37" t="str">
        <v>مکزیک</v>
      </c>
      <c r="H102" s="37" t="str">
        <v>پاناما</v>
      </c>
      <c r="I102" s="37" t="str">
        <v>سنگال</v>
      </c>
    </row>
    <row r="103" spans="1:9" ht="14.4" x14ac:dyDescent="0.3">
      <c r="A103" s="111" t="s">
        <v>426</v>
      </c>
      <c r="B103" s="107" t="s">
        <v>427</v>
      </c>
    </row>
    <row r="105" spans="1:9" x14ac:dyDescent="0.25">
      <c r="B105" s="114">
        <v>1</v>
      </c>
      <c r="C105" s="114">
        <v>2</v>
      </c>
      <c r="D105" s="114">
        <v>3</v>
      </c>
      <c r="E105" s="114">
        <v>4</v>
      </c>
      <c r="F105" s="114">
        <v>5</v>
      </c>
      <c r="G105" s="114">
        <v>6</v>
      </c>
      <c r="H105" s="114">
        <v>7</v>
      </c>
      <c r="I105" s="114">
        <v>8</v>
      </c>
    </row>
    <row r="106" spans="1:9" ht="14.4" x14ac:dyDescent="0.3">
      <c r="A106" s="113" t="s">
        <v>0</v>
      </c>
      <c r="B106" s="35" t="str">
        <f t="array" ref="B106:I111" xml:space="preserve"> INDEX( GamesTable[Team2], 6*(grp-1)+{1;2;3;4;5;6}, 1 )</f>
        <v>عربستان</v>
      </c>
      <c r="C106" s="35" t="str">
        <v>اسپانیا</v>
      </c>
      <c r="D106" s="35" t="str">
        <v>استرالیا</v>
      </c>
      <c r="E106" s="35" t="str">
        <v>ایسلند</v>
      </c>
      <c r="F106" s="35" t="str">
        <v>سوییس</v>
      </c>
      <c r="G106" s="35" t="str">
        <v>مکزیک</v>
      </c>
      <c r="H106" s="35" t="str">
        <v>پاناما</v>
      </c>
      <c r="I106" s="35" t="str">
        <v>سنگال</v>
      </c>
    </row>
    <row r="107" spans="1:9" ht="14.4" x14ac:dyDescent="0.3">
      <c r="A107" s="111" t="s">
        <v>421</v>
      </c>
      <c r="B107" s="36" t="str">
        <v>اروگوئه</v>
      </c>
      <c r="C107" s="36" t="str">
        <v>ایران</v>
      </c>
      <c r="D107" s="36" t="str">
        <v>دانمارک</v>
      </c>
      <c r="E107" s="36" t="str">
        <v>نیجریه</v>
      </c>
      <c r="F107" s="36" t="str">
        <v>صربستان</v>
      </c>
      <c r="G107" s="36" t="str">
        <v>کره جنوبی</v>
      </c>
      <c r="H107" s="36" t="str">
        <v>انگلستان</v>
      </c>
      <c r="I107" s="36" t="str">
        <v>ژاپن</v>
      </c>
    </row>
    <row r="108" spans="1:9" ht="14.4" x14ac:dyDescent="0.3">
      <c r="A108" s="111" t="s">
        <v>422</v>
      </c>
      <c r="B108" s="36" t="str">
        <v>مصر</v>
      </c>
      <c r="C108" s="36" t="str">
        <v>مراکش</v>
      </c>
      <c r="D108" s="36" t="str">
        <v>پرو</v>
      </c>
      <c r="E108" s="36" t="str">
        <v>کروواسی</v>
      </c>
      <c r="F108" s="36" t="str">
        <v>کاستاریکا</v>
      </c>
      <c r="G108" s="36" t="str">
        <v>سوئد</v>
      </c>
      <c r="H108" s="36" t="str">
        <v>تونس</v>
      </c>
      <c r="I108" s="36" t="str">
        <v>کلمبیا</v>
      </c>
    </row>
    <row r="109" spans="1:9" ht="14.4" x14ac:dyDescent="0.3">
      <c r="A109" s="111" t="s">
        <v>423</v>
      </c>
      <c r="B109" s="36" t="str">
        <v>عربستان</v>
      </c>
      <c r="C109" s="36" t="str">
        <v>اسپانیا</v>
      </c>
      <c r="D109" s="36" t="str">
        <v>استرالیا</v>
      </c>
      <c r="E109" s="36" t="str">
        <v>ایسلند</v>
      </c>
      <c r="F109" s="36" t="str">
        <v>سوییس</v>
      </c>
      <c r="G109" s="36" t="str">
        <v>مکزیک</v>
      </c>
      <c r="H109" s="36" t="str">
        <v>پاناما</v>
      </c>
      <c r="I109" s="36" t="str">
        <v>سنگال</v>
      </c>
    </row>
    <row r="110" spans="1:9" ht="14.4" x14ac:dyDescent="0.3">
      <c r="A110" s="111" t="s">
        <v>424</v>
      </c>
      <c r="B110" s="36" t="str">
        <v>روسیه</v>
      </c>
      <c r="C110" s="36" t="str">
        <v>پرتغال</v>
      </c>
      <c r="D110" s="36" t="str">
        <v>فرانسه</v>
      </c>
      <c r="E110" s="36" t="str">
        <v>آرژانتین</v>
      </c>
      <c r="F110" s="36" t="str">
        <v>برزیل</v>
      </c>
      <c r="G110" s="36" t="str">
        <v>آلمان</v>
      </c>
      <c r="H110" s="36" t="str">
        <v>بلژیک</v>
      </c>
      <c r="I110" s="36" t="str">
        <v>لهستان</v>
      </c>
    </row>
    <row r="111" spans="1:9" ht="14.4" x14ac:dyDescent="0.3">
      <c r="A111" s="111" t="s">
        <v>425</v>
      </c>
      <c r="B111" s="37" t="str">
        <v>مصر</v>
      </c>
      <c r="C111" s="37" t="str">
        <v>مراکش</v>
      </c>
      <c r="D111" s="37" t="str">
        <v>پرو</v>
      </c>
      <c r="E111" s="37" t="str">
        <v>کروواسی</v>
      </c>
      <c r="F111" s="37" t="str">
        <v>کاستاریکا</v>
      </c>
      <c r="G111" s="37" t="str">
        <v>سوئد</v>
      </c>
      <c r="H111" s="37" t="str">
        <v>تونس</v>
      </c>
      <c r="I111" s="37" t="str">
        <v>کلمبیا</v>
      </c>
    </row>
    <row r="112" spans="1:9" ht="14.4" x14ac:dyDescent="0.3">
      <c r="A112" s="111" t="s">
        <v>426</v>
      </c>
      <c r="B112" s="107" t="s">
        <v>428</v>
      </c>
    </row>
    <row r="114" spans="1:9" x14ac:dyDescent="0.25">
      <c r="B114" s="114">
        <v>1</v>
      </c>
      <c r="C114" s="114">
        <v>2</v>
      </c>
      <c r="D114" s="114">
        <v>3</v>
      </c>
      <c r="E114" s="114">
        <v>4</v>
      </c>
      <c r="F114" s="114">
        <v>5</v>
      </c>
      <c r="G114" s="114">
        <v>6</v>
      </c>
      <c r="H114" s="114">
        <v>7</v>
      </c>
      <c r="I114" s="114">
        <v>8</v>
      </c>
    </row>
    <row r="115" spans="1:9" ht="14.4" x14ac:dyDescent="0.3">
      <c r="A115" s="113" t="s">
        <v>429</v>
      </c>
      <c r="B115" s="35">
        <f t="array" ref="B115:I120" xml:space="preserve"> INDEX( GamesTable[Team1Num], 6*(grp-1)+{1;2;3;4;5;6}, 1 )</f>
        <v>1</v>
      </c>
      <c r="C115" s="35">
        <v>5</v>
      </c>
      <c r="D115" s="35">
        <v>9</v>
      </c>
      <c r="E115" s="35">
        <v>13</v>
      </c>
      <c r="F115" s="35">
        <v>17</v>
      </c>
      <c r="G115" s="35">
        <v>21</v>
      </c>
      <c r="H115" s="35">
        <v>25</v>
      </c>
      <c r="I115" s="35">
        <v>29</v>
      </c>
    </row>
    <row r="116" spans="1:9" ht="14.4" x14ac:dyDescent="0.3">
      <c r="A116" s="111" t="s">
        <v>421</v>
      </c>
      <c r="B116" s="36">
        <v>3</v>
      </c>
      <c r="C116" s="36">
        <v>7</v>
      </c>
      <c r="D116" s="36">
        <v>11</v>
      </c>
      <c r="E116" s="36">
        <v>15</v>
      </c>
      <c r="F116" s="36">
        <v>19</v>
      </c>
      <c r="G116" s="36">
        <v>23</v>
      </c>
      <c r="H116" s="36">
        <v>27</v>
      </c>
      <c r="I116" s="36">
        <v>31</v>
      </c>
    </row>
    <row r="117" spans="1:9" ht="14.4" x14ac:dyDescent="0.3">
      <c r="A117" s="111" t="s">
        <v>422</v>
      </c>
      <c r="B117" s="36">
        <v>1</v>
      </c>
      <c r="C117" s="36">
        <v>5</v>
      </c>
      <c r="D117" s="36">
        <v>9</v>
      </c>
      <c r="E117" s="36">
        <v>13</v>
      </c>
      <c r="F117" s="36">
        <v>17</v>
      </c>
      <c r="G117" s="36">
        <v>21</v>
      </c>
      <c r="H117" s="36">
        <v>25</v>
      </c>
      <c r="I117" s="36">
        <v>29</v>
      </c>
    </row>
    <row r="118" spans="1:9" ht="14.4" x14ac:dyDescent="0.3">
      <c r="A118" s="111" t="s">
        <v>423</v>
      </c>
      <c r="B118" s="36">
        <v>4</v>
      </c>
      <c r="C118" s="36">
        <v>8</v>
      </c>
      <c r="D118" s="36">
        <v>12</v>
      </c>
      <c r="E118" s="36">
        <v>16</v>
      </c>
      <c r="F118" s="36">
        <v>20</v>
      </c>
      <c r="G118" s="36">
        <v>24</v>
      </c>
      <c r="H118" s="36">
        <v>28</v>
      </c>
      <c r="I118" s="36">
        <v>32</v>
      </c>
    </row>
    <row r="119" spans="1:9" ht="14.4" x14ac:dyDescent="0.3">
      <c r="A119" s="111" t="s">
        <v>424</v>
      </c>
      <c r="B119" s="36">
        <v>4</v>
      </c>
      <c r="C119" s="36">
        <v>8</v>
      </c>
      <c r="D119" s="36">
        <v>12</v>
      </c>
      <c r="E119" s="36">
        <v>16</v>
      </c>
      <c r="F119" s="36">
        <v>20</v>
      </c>
      <c r="G119" s="36">
        <v>24</v>
      </c>
      <c r="H119" s="36">
        <v>28</v>
      </c>
      <c r="I119" s="36">
        <v>32</v>
      </c>
    </row>
    <row r="120" spans="1:9" ht="14.4" x14ac:dyDescent="0.3">
      <c r="A120" s="111" t="s">
        <v>425</v>
      </c>
      <c r="B120" s="37">
        <v>2</v>
      </c>
      <c r="C120" s="37">
        <v>6</v>
      </c>
      <c r="D120" s="37">
        <v>10</v>
      </c>
      <c r="E120" s="37">
        <v>14</v>
      </c>
      <c r="F120" s="37">
        <v>18</v>
      </c>
      <c r="G120" s="37">
        <v>22</v>
      </c>
      <c r="H120" s="37">
        <v>26</v>
      </c>
      <c r="I120" s="37">
        <v>30</v>
      </c>
    </row>
    <row r="121" spans="1:9" ht="14.4" x14ac:dyDescent="0.3">
      <c r="A121" s="111" t="s">
        <v>426</v>
      </c>
      <c r="B121" s="107" t="s">
        <v>427</v>
      </c>
    </row>
    <row r="123" spans="1:9" x14ac:dyDescent="0.25">
      <c r="B123" s="114">
        <v>1</v>
      </c>
      <c r="C123" s="114">
        <v>2</v>
      </c>
      <c r="D123" s="114">
        <v>3</v>
      </c>
      <c r="E123" s="114">
        <v>4</v>
      </c>
      <c r="F123" s="114">
        <v>5</v>
      </c>
      <c r="G123" s="114">
        <v>6</v>
      </c>
      <c r="H123" s="114">
        <v>7</v>
      </c>
      <c r="I123" s="114">
        <v>8</v>
      </c>
    </row>
    <row r="124" spans="1:9" ht="14.4" x14ac:dyDescent="0.3">
      <c r="A124" s="113" t="s">
        <v>0</v>
      </c>
      <c r="B124" s="35">
        <f t="array" ref="B124:I129" xml:space="preserve"> INDEX( GamesTable[Team2Num], 6*(grp-1)+{1;2;3;4;5;6}, 1 )</f>
        <v>2</v>
      </c>
      <c r="C124" s="35">
        <v>6</v>
      </c>
      <c r="D124" s="35">
        <v>10</v>
      </c>
      <c r="E124" s="35">
        <v>14</v>
      </c>
      <c r="F124" s="35">
        <v>18</v>
      </c>
      <c r="G124" s="35">
        <v>22</v>
      </c>
      <c r="H124" s="35">
        <v>26</v>
      </c>
      <c r="I124" s="35">
        <v>30</v>
      </c>
    </row>
    <row r="125" spans="1:9" ht="14.4" x14ac:dyDescent="0.3">
      <c r="A125" s="111" t="s">
        <v>421</v>
      </c>
      <c r="B125" s="36">
        <v>4</v>
      </c>
      <c r="C125" s="36">
        <v>8</v>
      </c>
      <c r="D125" s="36">
        <v>12</v>
      </c>
      <c r="E125" s="36">
        <v>16</v>
      </c>
      <c r="F125" s="36">
        <v>20</v>
      </c>
      <c r="G125" s="36">
        <v>24</v>
      </c>
      <c r="H125" s="36">
        <v>28</v>
      </c>
      <c r="I125" s="36">
        <v>32</v>
      </c>
    </row>
    <row r="126" spans="1:9" ht="14.4" x14ac:dyDescent="0.3">
      <c r="A126" s="111" t="s">
        <v>422</v>
      </c>
      <c r="B126" s="36">
        <v>3</v>
      </c>
      <c r="C126" s="36">
        <v>7</v>
      </c>
      <c r="D126" s="36">
        <v>11</v>
      </c>
      <c r="E126" s="36">
        <v>15</v>
      </c>
      <c r="F126" s="36">
        <v>19</v>
      </c>
      <c r="G126" s="36">
        <v>23</v>
      </c>
      <c r="H126" s="36">
        <v>27</v>
      </c>
      <c r="I126" s="36">
        <v>31</v>
      </c>
    </row>
    <row r="127" spans="1:9" ht="14.4" x14ac:dyDescent="0.3">
      <c r="A127" s="111" t="s">
        <v>423</v>
      </c>
      <c r="B127" s="36">
        <v>2</v>
      </c>
      <c r="C127" s="36">
        <v>6</v>
      </c>
      <c r="D127" s="36">
        <v>10</v>
      </c>
      <c r="E127" s="36">
        <v>14</v>
      </c>
      <c r="F127" s="36">
        <v>18</v>
      </c>
      <c r="G127" s="36">
        <v>22</v>
      </c>
      <c r="H127" s="36">
        <v>26</v>
      </c>
      <c r="I127" s="36">
        <v>30</v>
      </c>
    </row>
    <row r="128" spans="1:9" ht="14.4" x14ac:dyDescent="0.3">
      <c r="A128" s="111" t="s">
        <v>424</v>
      </c>
      <c r="B128" s="36">
        <v>1</v>
      </c>
      <c r="C128" s="36">
        <v>5</v>
      </c>
      <c r="D128" s="36">
        <v>9</v>
      </c>
      <c r="E128" s="36">
        <v>13</v>
      </c>
      <c r="F128" s="36">
        <v>17</v>
      </c>
      <c r="G128" s="36">
        <v>21</v>
      </c>
      <c r="H128" s="36">
        <v>25</v>
      </c>
      <c r="I128" s="36">
        <v>29</v>
      </c>
    </row>
    <row r="129" spans="1:9" ht="14.4" x14ac:dyDescent="0.3">
      <c r="A129" s="111" t="s">
        <v>425</v>
      </c>
      <c r="B129" s="37">
        <v>3</v>
      </c>
      <c r="C129" s="37">
        <v>7</v>
      </c>
      <c r="D129" s="37">
        <v>11</v>
      </c>
      <c r="E129" s="37">
        <v>15</v>
      </c>
      <c r="F129" s="37">
        <v>19</v>
      </c>
      <c r="G129" s="37">
        <v>23</v>
      </c>
      <c r="H129" s="37">
        <v>27</v>
      </c>
      <c r="I129" s="37">
        <v>31</v>
      </c>
    </row>
    <row r="130" spans="1:9" ht="14.4" x14ac:dyDescent="0.3">
      <c r="A130" s="111" t="s">
        <v>426</v>
      </c>
      <c r="B130" s="107" t="s">
        <v>428</v>
      </c>
    </row>
  </sheetData>
  <mergeCells count="9">
    <mergeCell ref="J23:J26"/>
    <mergeCell ref="H23:H26"/>
    <mergeCell ref="I23:I26"/>
    <mergeCell ref="B23:B26"/>
    <mergeCell ref="C23:C26"/>
    <mergeCell ref="D23:D26"/>
    <mergeCell ref="E23:E26"/>
    <mergeCell ref="F23:F26"/>
    <mergeCell ref="G23:G26"/>
  </mergeCells>
  <dataValidations count="1">
    <dataValidation type="list" allowBlank="1" showInputMessage="1" showErrorMessage="1" sqref="C10">
      <formula1>language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8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1</v>
      </c>
      <c r="C7" s="131" t="str">
        <f>TEXT( INDEX( GamesTable[Date], $B7 ),date.format)</f>
        <v>پنجشنبه 3/24</v>
      </c>
      <c r="D7" s="132" t="str">
        <f xml:space="preserve"> INDEX( GamesTable[Venue], $B7 )</f>
        <v xml:space="preserve"> Moscow</v>
      </c>
      <c r="E7" s="62" t="str">
        <f xml:space="preserve"> INDEX( GamesTable[Team1], $B7 )</f>
        <v>روسیه</v>
      </c>
      <c r="F7" s="63"/>
      <c r="G7" s="20"/>
      <c r="H7" s="135" t="s">
        <v>74</v>
      </c>
      <c r="I7" s="20"/>
      <c r="J7" s="63"/>
      <c r="K7" s="102" t="str">
        <f xml:space="preserve"> INDEX( GamesTable[Team2], $B7 )</f>
        <v>عربستان</v>
      </c>
      <c r="L7" s="24"/>
      <c r="M7" s="24"/>
      <c r="N7" s="124"/>
      <c r="O7" s="129"/>
      <c r="P7" s="124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2</v>
      </c>
      <c r="C9" s="131" t="str">
        <f>TEXT( INDEX( GamesTable[Date], $B9 ),date.format)</f>
        <v>جمعه 3/25</v>
      </c>
      <c r="D9" s="132" t="str">
        <f xml:space="preserve"> INDEX( GamesTable[Venue], $B9 )</f>
        <v xml:space="preserve"> Ekaterinburg</v>
      </c>
      <c r="E9" s="62" t="str">
        <f xml:space="preserve"> INDEX( GamesTable[Team1], $B9 )</f>
        <v>مصر</v>
      </c>
      <c r="F9" s="67"/>
      <c r="G9" s="20"/>
      <c r="H9" s="135" t="s">
        <v>74</v>
      </c>
      <c r="I9" s="20"/>
      <c r="J9" s="63"/>
      <c r="K9" s="102" t="str">
        <f xml:space="preserve"> INDEX( GamesTable[Team2], $B9 )</f>
        <v>اروگوئه</v>
      </c>
      <c r="L9" s="24"/>
      <c r="M9" s="24"/>
      <c r="N9" s="118">
        <f>INDEX(index.order,1)</f>
        <v>1</v>
      </c>
      <c r="O9" s="64" t="str">
        <f>INDEX(team.order,1)</f>
        <v>روسیه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3</v>
      </c>
      <c r="C11" s="131" t="str">
        <f>TEXT( INDEX( GamesTable[Date], $B11 ),date.format)</f>
        <v>سه شنبه 3/29</v>
      </c>
      <c r="D11" s="132" t="str">
        <f xml:space="preserve"> INDEX( GamesTable[Venue], $B11 )</f>
        <v xml:space="preserve"> Saint Petersburg</v>
      </c>
      <c r="E11" s="62" t="str">
        <f xml:space="preserve"> INDEX( GamesTable[Team1], $B11 )</f>
        <v>روسیه</v>
      </c>
      <c r="F11" s="67"/>
      <c r="G11" s="20"/>
      <c r="H11" s="135" t="s">
        <v>74</v>
      </c>
      <c r="I11" s="20"/>
      <c r="J11" s="63"/>
      <c r="K11" s="102" t="str">
        <f xml:space="preserve"> INDEX( GamesTable[Team2], $B11 )</f>
        <v>مصر</v>
      </c>
      <c r="L11" s="24"/>
      <c r="M11" s="24"/>
      <c r="N11" s="118">
        <f>INDEX(index.order,2)</f>
        <v>2</v>
      </c>
      <c r="O11" s="64" t="str">
        <f>INDEX(team.order,2)</f>
        <v>عربستان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4</v>
      </c>
      <c r="C13" s="131" t="str">
        <f>TEXT( INDEX( GamesTable[Date], $B13 ),date.format)</f>
        <v>چهارشنبه 3/30</v>
      </c>
      <c r="D13" s="132" t="str">
        <f xml:space="preserve"> INDEX( GamesTable[Venue], $B13 )</f>
        <v xml:space="preserve"> Rostov-on-Don</v>
      </c>
      <c r="E13" s="62" t="str">
        <f xml:space="preserve"> INDEX( GamesTable[Team1], $B13 )</f>
        <v>اروگوئه</v>
      </c>
      <c r="F13" s="67"/>
      <c r="G13" s="20"/>
      <c r="H13" s="135" t="s">
        <v>74</v>
      </c>
      <c r="I13" s="20"/>
      <c r="J13" s="63"/>
      <c r="K13" s="102" t="str">
        <f xml:space="preserve"> INDEX( GamesTable[Team2], $B13 )</f>
        <v>عربستان</v>
      </c>
      <c r="L13" s="24"/>
      <c r="M13" s="24"/>
      <c r="N13" s="118">
        <f>INDEX(index.order,3)</f>
        <v>3</v>
      </c>
      <c r="O13" s="64" t="str">
        <f>INDEX(team.order,3)</f>
        <v>مصر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5</v>
      </c>
      <c r="C15" s="131" t="str">
        <f>TEXT( INDEX( GamesTable[Date], $B15 ),date.format)</f>
        <v>دوشنبه 4/4</v>
      </c>
      <c r="D15" s="132" t="str">
        <f xml:space="preserve"> INDEX( GamesTable[Venue], $B15 )</f>
        <v xml:space="preserve"> Samara</v>
      </c>
      <c r="E15" s="62" t="str">
        <f xml:space="preserve"> INDEX( GamesTable[Team1], $B15 )</f>
        <v>اروگوئه</v>
      </c>
      <c r="F15" s="63"/>
      <c r="G15" s="20"/>
      <c r="H15" s="135" t="s">
        <v>74</v>
      </c>
      <c r="I15" s="20"/>
      <c r="J15" s="63"/>
      <c r="K15" s="102" t="str">
        <f xml:space="preserve"> INDEX( GamesTable[Team2], $B15 )</f>
        <v>روسیه</v>
      </c>
      <c r="L15" s="24"/>
      <c r="M15" s="24"/>
      <c r="N15" s="118">
        <f>INDEX(index.order,4)</f>
        <v>4</v>
      </c>
      <c r="O15" s="64" t="str">
        <f>INDEX(team.order,4)</f>
        <v>اروگوئه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v>6</v>
      </c>
      <c r="C17" s="131" t="str">
        <f>TEXT( INDEX( GamesTable[Date], $B17 ),date.format)</f>
        <v>دوشنبه 4/4</v>
      </c>
      <c r="D17" s="132" t="str">
        <f xml:space="preserve"> INDEX( GamesTable[Venue], $B17 )</f>
        <v xml:space="preserve"> Volgograd</v>
      </c>
      <c r="E17" s="62" t="str">
        <f xml:space="preserve"> INDEX( GamesTable[Team1], $B17 )</f>
        <v>عربستان</v>
      </c>
      <c r="F17" s="63"/>
      <c r="G17" s="20"/>
      <c r="H17" s="135" t="s">
        <v>74</v>
      </c>
      <c r="I17" s="20"/>
      <c r="J17" s="63"/>
      <c r="K17" s="102" t="str">
        <f xml:space="preserve"> INDEX( GamesTable[Team2], $B17 )</f>
        <v>مصر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tr">
        <f>INDEX(CountryLists[],MATCH("Group Winner",CountryLists[English],0),Labels!language.idx)</f>
        <v>تیم اول گروه</v>
      </c>
      <c r="F19" s="61"/>
      <c r="G19" s="59"/>
      <c r="H19" s="59"/>
      <c r="I19" s="59"/>
      <c r="J19" s="60" t="str">
        <f>INDEX(CountryLists[],MATCH("Group Runner-up",CountryLists[English],0),Labels!language.idx)</f>
        <v>تیم دوم گروه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روسیه</v>
      </c>
      <c r="AD30" s="80" t="str">
        <f t="array" ref="AD30:AD35" xml:space="preserve"> INDEX( GroupMatchTeam2, 0, Group.Index )</f>
        <v>عربستان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روسیه</v>
      </c>
      <c r="AJ30" s="76">
        <f t="array" ref="AJ30:AJ33" xml:space="preserve"> 4*(Group.Index-1) + {1;2;3;4}</f>
        <v>1</v>
      </c>
      <c r="AK30" s="116">
        <f t="array" ref="AK30:AK33">INDEX(Groups.TeamIndices,,Group.Index)</f>
        <v>23</v>
      </c>
      <c r="AL30" s="23"/>
      <c r="AM30" s="78">
        <v>1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مصر</v>
      </c>
      <c r="AD31" s="84" t="str">
        <v>اروگوئه</v>
      </c>
      <c r="AE31" s="85" t="e">
        <v>#N/A</v>
      </c>
      <c r="AF31" s="86" t="str">
        <v>34</v>
      </c>
      <c r="AG31" s="24"/>
      <c r="AH31" s="24"/>
      <c r="AI31" s="76" t="str">
        <v>عربستان</v>
      </c>
      <c r="AJ31" s="76">
        <v>2</v>
      </c>
      <c r="AK31" s="116">
        <v>24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روسیه</v>
      </c>
      <c r="AD32" s="84" t="str">
        <v>مصر</v>
      </c>
      <c r="AE32" s="85" t="e">
        <v>#N/A</v>
      </c>
      <c r="AF32" s="86" t="str">
        <v>13</v>
      </c>
      <c r="AG32" s="24"/>
      <c r="AH32" s="24"/>
      <c r="AI32" s="76" t="str">
        <v>مصر</v>
      </c>
      <c r="AJ32" s="76">
        <v>3</v>
      </c>
      <c r="AK32" s="116">
        <v>9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اروگوئه</v>
      </c>
      <c r="AD33" s="84" t="str">
        <v>عربستان</v>
      </c>
      <c r="AE33" s="85" t="e">
        <v>#N/A</v>
      </c>
      <c r="AF33" s="86" t="str">
        <v>42</v>
      </c>
      <c r="AG33" s="24"/>
      <c r="AH33" s="24"/>
      <c r="AI33" s="76" t="str">
        <v>اروگوئه</v>
      </c>
      <c r="AJ33" s="76">
        <v>4</v>
      </c>
      <c r="AK33" s="116">
        <v>32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اروگوئه</v>
      </c>
      <c r="AD34" s="84" t="str">
        <v>روسیه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عربستان</v>
      </c>
      <c r="AD35" s="88" t="str">
        <v>مصر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عربستان</v>
      </c>
      <c r="AD36" s="92" t="str">
        <f t="array" ref="AD36:AD41" xml:space="preserve"> INDEX( GroupMatchTeam1, 0, Group.Index )</f>
        <v>روسیه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اروگوئه</v>
      </c>
      <c r="AD37" s="84" t="str">
        <v>مصر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مصر</v>
      </c>
      <c r="AD38" s="84" t="str">
        <v>روسیه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روسیه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عربستان</v>
      </c>
      <c r="AD39" s="84" t="str">
        <v>اروگوئه</v>
      </c>
      <c r="AE39" s="85" t="e">
        <v>#N/A</v>
      </c>
      <c r="AF39" s="86" t="str">
        <v>24</v>
      </c>
      <c r="AG39" s="24"/>
      <c r="AH39" s="24"/>
      <c r="AI39" s="76" t="str">
        <v>عربستان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روسیه</v>
      </c>
      <c r="AD40" s="84" t="str">
        <v>اروگوئه</v>
      </c>
      <c r="AE40" s="85" t="e">
        <v>#N/A</v>
      </c>
      <c r="AF40" s="86" t="str">
        <v>14</v>
      </c>
      <c r="AG40" s="24"/>
      <c r="AH40" s="24"/>
      <c r="AI40" s="76" t="str">
        <v>مصر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مصر</v>
      </c>
      <c r="AD41" s="88" t="str">
        <v>عربستان</v>
      </c>
      <c r="AE41" s="89" t="e">
        <v>#N/A</v>
      </c>
      <c r="AF41" s="90" t="str">
        <v>32</v>
      </c>
      <c r="AG41" s="23"/>
      <c r="AH41" s="23"/>
      <c r="AI41" s="76" t="str">
        <v>اروگوئه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روسیه</v>
      </c>
      <c r="AE45" s="76" t="str">
        <v>عربستان</v>
      </c>
      <c r="AF45" s="76" t="str">
        <v>مصر</v>
      </c>
      <c r="AG45" s="76" t="str">
        <v>اروگوئه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روسیه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روسیه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عربستان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عربستان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مصر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مصر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اروگوئه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اروگوئه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روسیه</v>
      </c>
      <c r="AE51" s="76" t="str">
        <v>عربستان</v>
      </c>
      <c r="AF51" s="76" t="str">
        <v>مصر</v>
      </c>
      <c r="AG51" s="76" t="str">
        <v>اروگوئه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روسیه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روسیه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1</v>
      </c>
      <c r="AL52" s="116">
        <f t="array" ref="AL52:AL55" xml:space="preserve"> INDEX(team.index.alpha, order, 0)</f>
        <v>23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عربستان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عربستان</v>
      </c>
      <c r="AJ53" s="76">
        <v>0</v>
      </c>
      <c r="AK53" s="76">
        <v>2</v>
      </c>
      <c r="AL53" s="116">
        <v>24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مصر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مصر</v>
      </c>
      <c r="AJ54" s="76">
        <v>0</v>
      </c>
      <c r="AK54" s="76">
        <v>3</v>
      </c>
      <c r="AL54" s="116">
        <v>9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اروگوئه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اروگوئه</v>
      </c>
      <c r="AJ55" s="76">
        <v>0</v>
      </c>
      <c r="AK55" s="76">
        <v>4</v>
      </c>
      <c r="AL55" s="116">
        <v>32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روسیه</v>
      </c>
      <c r="AE57" s="76" t="str">
        <v>عربستان</v>
      </c>
      <c r="AF57" s="76" t="str">
        <v>مصر</v>
      </c>
      <c r="AG57" s="76" t="str">
        <v>اروگوئه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روسیه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عربستان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مصر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اروگوئه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روسیه</v>
      </c>
      <c r="AE63" s="76" t="str">
        <v>عربستان</v>
      </c>
      <c r="AF63" s="76" t="str">
        <v>مصر</v>
      </c>
      <c r="AG63" s="76" t="str">
        <v>اروگوئه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روسیه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عربستان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مصر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اروگوئه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5" hidden="1" customHeight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7 I9 I11 I13 I15 I17">
      <formula1>0</formula1>
      <formula2>20</formula2>
    </dataValidation>
  </dataValidations>
  <pageMargins left="0.31496062992125984" right="0.31496062992125984" top="0.74803149606299213" bottom="0.74803149606299213" header="0.31496062992125984" footer="0.31496062992125984"/>
  <pageSetup paperSize="9" scale="94" orientation="landscape" r:id="rId1"/>
  <drawing r:id="rId2"/>
  <legacyDrawing r:id="rId3"/>
  <picture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7</v>
      </c>
      <c r="C7" s="131" t="str">
        <f>TEXT( INDEX( GamesTable[Date], $B7 ),date.format)</f>
        <v>جمعه 3/25</v>
      </c>
      <c r="D7" s="132" t="str">
        <f xml:space="preserve"> INDEX( GamesTable[Venue], $B7 )</f>
        <v xml:space="preserve"> Sochi</v>
      </c>
      <c r="E7" s="62" t="str">
        <f xml:space="preserve"> INDEX( GamesTable[Team1], $B7 )</f>
        <v>پرتغال</v>
      </c>
      <c r="F7" s="63"/>
      <c r="G7" s="20"/>
      <c r="H7" s="135" t="s">
        <v>74</v>
      </c>
      <c r="I7" s="20"/>
      <c r="J7" s="63"/>
      <c r="K7" s="102" t="str">
        <f xml:space="preserve"> INDEX( GamesTable[Team2], $B7 )</f>
        <v>اسپانیا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8</v>
      </c>
      <c r="C9" s="131" t="str">
        <f>TEXT( INDEX( GamesTable[Date], $B9 ),date.format)</f>
        <v>جمعه 3/25</v>
      </c>
      <c r="D9" s="132" t="str">
        <f xml:space="preserve"> INDEX( GamesTable[Venue], $B9 )</f>
        <v xml:space="preserve"> Saint Petersburg</v>
      </c>
      <c r="E9" s="62" t="str">
        <f xml:space="preserve"> INDEX( GamesTable[Team1], $B9 )</f>
        <v>مراکش</v>
      </c>
      <c r="F9" s="67"/>
      <c r="G9" s="20"/>
      <c r="H9" s="135" t="s">
        <v>74</v>
      </c>
      <c r="I9" s="20"/>
      <c r="J9" s="63"/>
      <c r="K9" s="102" t="str">
        <f xml:space="preserve"> INDEX( GamesTable[Team2], $B9 )</f>
        <v>ایران</v>
      </c>
      <c r="L9" s="24"/>
      <c r="M9" s="24"/>
      <c r="N9" s="118">
        <f>INDEX(index.order,1)</f>
        <v>5</v>
      </c>
      <c r="O9" s="64" t="str">
        <f>INDEX(team.order,1)</f>
        <v>پرتغال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9</v>
      </c>
      <c r="C11" s="131" t="str">
        <f>TEXT( INDEX( GamesTable[Date], $B11 ),date.format)</f>
        <v>چهارشنبه 3/30</v>
      </c>
      <c r="D11" s="132" t="str">
        <f xml:space="preserve"> INDEX( GamesTable[Venue], $B11 )</f>
        <v xml:space="preserve"> Moscow</v>
      </c>
      <c r="E11" s="62" t="str">
        <f xml:space="preserve"> INDEX( GamesTable[Team1], $B11 )</f>
        <v>پرتغال</v>
      </c>
      <c r="F11" s="67"/>
      <c r="G11" s="20"/>
      <c r="H11" s="135" t="s">
        <v>74</v>
      </c>
      <c r="I11" s="20"/>
      <c r="J11" s="63"/>
      <c r="K11" s="102" t="str">
        <f xml:space="preserve"> INDEX( GamesTable[Team2], $B11 )</f>
        <v>مراکش</v>
      </c>
      <c r="L11" s="24"/>
      <c r="M11" s="24"/>
      <c r="N11" s="118">
        <f>INDEX(index.order,2)</f>
        <v>6</v>
      </c>
      <c r="O11" s="64" t="str">
        <f>INDEX(team.order,2)</f>
        <v>اسپانیا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10</v>
      </c>
      <c r="C13" s="131" t="str">
        <f>TEXT( INDEX( GamesTable[Date], $B13 ),date.format)</f>
        <v>چهارشنبه 3/30</v>
      </c>
      <c r="D13" s="132" t="str">
        <f xml:space="preserve"> INDEX( GamesTable[Venue], $B13 )</f>
        <v xml:space="preserve"> Kazan</v>
      </c>
      <c r="E13" s="62" t="str">
        <f xml:space="preserve"> INDEX( GamesTable[Team1], $B13 )</f>
        <v>ایران</v>
      </c>
      <c r="F13" s="67"/>
      <c r="G13" s="20"/>
      <c r="H13" s="135" t="s">
        <v>74</v>
      </c>
      <c r="I13" s="20"/>
      <c r="J13" s="63"/>
      <c r="K13" s="102" t="str">
        <f xml:space="preserve"> INDEX( GamesTable[Team2], $B13 )</f>
        <v>اسپانیا</v>
      </c>
      <c r="L13" s="24"/>
      <c r="M13" s="24"/>
      <c r="N13" s="118">
        <f>INDEX(index.order,3)</f>
        <v>7</v>
      </c>
      <c r="O13" s="64" t="str">
        <f>INDEX(team.order,3)</f>
        <v>مراکش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11</v>
      </c>
      <c r="C15" s="131" t="str">
        <f>TEXT( INDEX( GamesTable[Date], $B15 ),date.format)</f>
        <v>دوشنبه 4/4</v>
      </c>
      <c r="D15" s="132" t="str">
        <f xml:space="preserve"> INDEX( GamesTable[Venue], $B15 )</f>
        <v xml:space="preserve"> Saransk</v>
      </c>
      <c r="E15" s="62" t="str">
        <f xml:space="preserve"> INDEX( GamesTable[Team1], $B15 )</f>
        <v>ایران</v>
      </c>
      <c r="F15" s="63"/>
      <c r="G15" s="20"/>
      <c r="H15" s="135" t="s">
        <v>74</v>
      </c>
      <c r="I15" s="20"/>
      <c r="J15" s="63"/>
      <c r="K15" s="102" t="str">
        <f xml:space="preserve"> INDEX( GamesTable[Team2], $B15 )</f>
        <v>پرتغال</v>
      </c>
      <c r="L15" s="24"/>
      <c r="M15" s="24"/>
      <c r="N15" s="118">
        <f>INDEX(index.order,4)</f>
        <v>8</v>
      </c>
      <c r="O15" s="64" t="str">
        <f>INDEX(team.order,4)</f>
        <v>ایران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12</v>
      </c>
      <c r="C17" s="131" t="str">
        <f>TEXT( INDEX( GamesTable[Date], $B17 ),date.format)</f>
        <v>دوشنبه 4/4</v>
      </c>
      <c r="D17" s="132" t="str">
        <f xml:space="preserve"> INDEX( GamesTable[Venue], $B17 )</f>
        <v xml:space="preserve"> Kaliningrad</v>
      </c>
      <c r="E17" s="62" t="str">
        <f xml:space="preserve"> INDEX( GamesTable[Team1], $B17 )</f>
        <v>اسپانیا</v>
      </c>
      <c r="F17" s="63"/>
      <c r="G17" s="20"/>
      <c r="H17" s="135" t="s">
        <v>74</v>
      </c>
      <c r="I17" s="20"/>
      <c r="J17" s="63"/>
      <c r="K17" s="102" t="str">
        <f xml:space="preserve"> INDEX( GamesTable[Team2], $B17 )</f>
        <v>مراکش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466</v>
      </c>
      <c r="F19" s="61"/>
      <c r="G19" s="59"/>
      <c r="H19" s="59"/>
      <c r="I19" s="59"/>
      <c r="J19" s="60" t="s">
        <v>467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پرتغال</v>
      </c>
      <c r="AD30" s="80" t="str">
        <f t="array" ref="AD30:AD35" xml:space="preserve"> INDEX( GroupMatchTeam2, 0, Group.Index )</f>
        <v>اسپانیا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 0, Group.Index)</f>
        <v>پرتغال</v>
      </c>
      <c r="AJ30" s="76">
        <f t="array" ref="AJ30:AJ33" xml:space="preserve"> 4*(Group.Index-1) + {1;2;3;4}</f>
        <v>5</v>
      </c>
      <c r="AK30" s="116">
        <f t="array" ref="AK30:AK33">INDEX(Groups.TeamIndices,,Group.Index)</f>
        <v>22</v>
      </c>
      <c r="AL30" s="23"/>
      <c r="AM30" s="78">
        <v>2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مراکش</v>
      </c>
      <c r="AD31" s="84" t="str">
        <v>ایران</v>
      </c>
      <c r="AE31" s="85" t="e">
        <v>#N/A</v>
      </c>
      <c r="AF31" s="86" t="str">
        <v>34</v>
      </c>
      <c r="AG31" s="24"/>
      <c r="AH31" s="24"/>
      <c r="AI31" s="76" t="str">
        <v>اسپانیا</v>
      </c>
      <c r="AJ31" s="76">
        <v>6</v>
      </c>
      <c r="AK31" s="116">
        <v>28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پرتغال</v>
      </c>
      <c r="AD32" s="84" t="str">
        <v>مراکش</v>
      </c>
      <c r="AE32" s="85" t="e">
        <v>#N/A</v>
      </c>
      <c r="AF32" s="86" t="str">
        <v>13</v>
      </c>
      <c r="AG32" s="24"/>
      <c r="AH32" s="24"/>
      <c r="AI32" s="76" t="str">
        <v>مراکش</v>
      </c>
      <c r="AJ32" s="76">
        <v>7</v>
      </c>
      <c r="AK32" s="116">
        <v>17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ایران</v>
      </c>
      <c r="AD33" s="84" t="str">
        <v>اسپانیا</v>
      </c>
      <c r="AE33" s="85" t="e">
        <v>#N/A</v>
      </c>
      <c r="AF33" s="86" t="str">
        <v>42</v>
      </c>
      <c r="AG33" s="24"/>
      <c r="AH33" s="24"/>
      <c r="AI33" s="76" t="str">
        <v>ایران</v>
      </c>
      <c r="AJ33" s="76">
        <v>8</v>
      </c>
      <c r="AK33" s="116">
        <v>14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ایران</v>
      </c>
      <c r="AD34" s="84" t="str">
        <v>پرتغال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اسپانیا</v>
      </c>
      <c r="AD35" s="88" t="str">
        <v>مراکش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اسپانیا</v>
      </c>
      <c r="AD36" s="92" t="str">
        <f t="array" ref="AD36:AD41" xml:space="preserve"> INDEX( GroupMatchTeam1, 0, Group.Index )</f>
        <v>پرتغال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ایران</v>
      </c>
      <c r="AD37" s="84" t="str">
        <v>مراکش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مراکش</v>
      </c>
      <c r="AD38" s="84" t="str">
        <v>پرتغال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پرتغال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اسپانیا</v>
      </c>
      <c r="AD39" s="84" t="str">
        <v>ایران</v>
      </c>
      <c r="AE39" s="85" t="e">
        <v>#N/A</v>
      </c>
      <c r="AF39" s="86" t="str">
        <v>24</v>
      </c>
      <c r="AG39" s="24"/>
      <c r="AH39" s="24"/>
      <c r="AI39" s="76" t="str">
        <v>اسپانیا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پرتغال</v>
      </c>
      <c r="AD40" s="84" t="str">
        <v>ایران</v>
      </c>
      <c r="AE40" s="85" t="e">
        <v>#N/A</v>
      </c>
      <c r="AF40" s="86" t="str">
        <v>14</v>
      </c>
      <c r="AG40" s="24"/>
      <c r="AH40" s="24"/>
      <c r="AI40" s="76" t="str">
        <v>مراکش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مراکش</v>
      </c>
      <c r="AD41" s="88" t="str">
        <v>اسپانیا</v>
      </c>
      <c r="AE41" s="89" t="e">
        <v>#N/A</v>
      </c>
      <c r="AF41" s="90" t="str">
        <v>32</v>
      </c>
      <c r="AG41" s="23"/>
      <c r="AH41" s="23"/>
      <c r="AI41" s="76" t="str">
        <v>ایران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پرتغال</v>
      </c>
      <c r="AE45" s="76" t="str">
        <v>اسپانیا</v>
      </c>
      <c r="AF45" s="76" t="str">
        <v>مراکش</v>
      </c>
      <c r="AG45" s="76" t="str">
        <v>ایران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پرتغال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پرتغال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اسپانیا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اسپانیا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مراکش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مراکش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ایران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ایران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پرتغال</v>
      </c>
      <c r="AE51" s="76" t="str">
        <v>اسپانیا</v>
      </c>
      <c r="AF51" s="76" t="str">
        <v>مراکش</v>
      </c>
      <c r="AG51" s="76" t="str">
        <v>ایران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پرتغال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پرتغال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5</v>
      </c>
      <c r="AL52" s="116">
        <f t="array" ref="AL52:AL55" xml:space="preserve"> INDEX(team.index.alpha, order, 0)</f>
        <v>22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اسپانیا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اسپانیا</v>
      </c>
      <c r="AJ53" s="76">
        <v>0</v>
      </c>
      <c r="AK53" s="76">
        <v>6</v>
      </c>
      <c r="AL53" s="116">
        <v>28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مراکش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مراکش</v>
      </c>
      <c r="AJ54" s="76">
        <v>0</v>
      </c>
      <c r="AK54" s="76">
        <v>7</v>
      </c>
      <c r="AL54" s="116">
        <v>17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ایران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ایران</v>
      </c>
      <c r="AJ55" s="76">
        <v>0</v>
      </c>
      <c r="AK55" s="76">
        <v>8</v>
      </c>
      <c r="AL55" s="116">
        <v>14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پرتغال</v>
      </c>
      <c r="AE57" s="76" t="str">
        <v>اسپانیا</v>
      </c>
      <c r="AF57" s="76" t="str">
        <v>مراکش</v>
      </c>
      <c r="AG57" s="76" t="str">
        <v>ایران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پرتغال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اسپانیا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مراکش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ایران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پرتغال</v>
      </c>
      <c r="AE63" s="76" t="str">
        <v>اسپانیا</v>
      </c>
      <c r="AF63" s="76" t="str">
        <v>مراکش</v>
      </c>
      <c r="AG63" s="76" t="str">
        <v>ایران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پرتغال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اسپانیا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مراکش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ایران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7 I9 I11 I13 I15 I1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13</v>
      </c>
      <c r="C7" s="131" t="str">
        <f>TEXT( INDEX( GamesTable[Date], $B7 ),date.format)</f>
        <v>شنبه 3/26</v>
      </c>
      <c r="D7" s="132" t="str">
        <f xml:space="preserve"> INDEX( GamesTable[Venue], $B7 )</f>
        <v xml:space="preserve"> Kazan</v>
      </c>
      <c r="E7" s="62" t="str">
        <f xml:space="preserve"> INDEX( GamesTable[Team1], $B7 )</f>
        <v>فرانسه</v>
      </c>
      <c r="F7" s="63"/>
      <c r="G7" s="20"/>
      <c r="H7" s="19" t="s">
        <v>74</v>
      </c>
      <c r="I7" s="20"/>
      <c r="J7" s="63"/>
      <c r="K7" s="102" t="str">
        <f xml:space="preserve"> INDEX( GamesTable[Team2], $B7 )</f>
        <v>استرالیا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14</v>
      </c>
      <c r="C9" s="131" t="str">
        <f>TEXT( INDEX( GamesTable[Date], $B9 ),date.format)</f>
        <v>شنبه 3/26</v>
      </c>
      <c r="D9" s="132" t="str">
        <f xml:space="preserve"> INDEX( GamesTable[Venue], $B9 )</f>
        <v xml:space="preserve"> Saransk</v>
      </c>
      <c r="E9" s="62" t="str">
        <f xml:space="preserve"> INDEX( GamesTable[Team1], $B9 )</f>
        <v>پرو</v>
      </c>
      <c r="F9" s="67"/>
      <c r="G9" s="20"/>
      <c r="H9" s="19" t="s">
        <v>74</v>
      </c>
      <c r="I9" s="20"/>
      <c r="J9" s="63"/>
      <c r="K9" s="102" t="str">
        <f xml:space="preserve"> INDEX( GamesTable[Team2], $B9 )</f>
        <v>دانمارک</v>
      </c>
      <c r="L9" s="24"/>
      <c r="M9" s="24"/>
      <c r="N9" s="118">
        <f>INDEX(index.order,1)</f>
        <v>9</v>
      </c>
      <c r="O9" s="64" t="str">
        <f>INDEX(team.order,1)</f>
        <v>فرانسه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15</v>
      </c>
      <c r="C11" s="131" t="str">
        <f>TEXT( INDEX( GamesTable[Date], $B11 ),date.format)</f>
        <v>پنجشنبه 3/31</v>
      </c>
      <c r="D11" s="132" t="str">
        <f xml:space="preserve"> INDEX( GamesTable[Venue], $B11 )</f>
        <v xml:space="preserve"> Ekaterinburg</v>
      </c>
      <c r="E11" s="62" t="str">
        <f xml:space="preserve"> INDEX( GamesTable[Team1], $B11 )</f>
        <v>فرانسه</v>
      </c>
      <c r="F11" s="67"/>
      <c r="G11" s="20"/>
      <c r="H11" s="19" t="s">
        <v>74</v>
      </c>
      <c r="I11" s="20"/>
      <c r="J11" s="63"/>
      <c r="K11" s="102" t="str">
        <f xml:space="preserve"> INDEX( GamesTable[Team2], $B11 )</f>
        <v>پرو</v>
      </c>
      <c r="L11" s="24"/>
      <c r="M11" s="24"/>
      <c r="N11" s="118">
        <f>INDEX(index.order,2)</f>
        <v>10</v>
      </c>
      <c r="O11" s="64" t="str">
        <f>INDEX(team.order,2)</f>
        <v>استرالیا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16</v>
      </c>
      <c r="C13" s="131" t="str">
        <f>TEXT( INDEX( GamesTable[Date], $B13 ),date.format)</f>
        <v>پنجشنبه 3/31</v>
      </c>
      <c r="D13" s="132" t="str">
        <f xml:space="preserve"> INDEX( GamesTable[Venue], $B13 )</f>
        <v xml:space="preserve"> Samara</v>
      </c>
      <c r="E13" s="62" t="str">
        <f xml:space="preserve"> INDEX( GamesTable[Team1], $B13 )</f>
        <v>دانمارک</v>
      </c>
      <c r="F13" s="67"/>
      <c r="G13" s="20"/>
      <c r="H13" s="19" t="s">
        <v>74</v>
      </c>
      <c r="I13" s="20"/>
      <c r="J13" s="63"/>
      <c r="K13" s="102" t="str">
        <f xml:space="preserve"> INDEX( GamesTable[Team2], $B13 )</f>
        <v>استرالیا</v>
      </c>
      <c r="L13" s="24"/>
      <c r="M13" s="24"/>
      <c r="N13" s="118">
        <f>INDEX(index.order,3)</f>
        <v>11</v>
      </c>
      <c r="O13" s="64" t="str">
        <f>INDEX(team.order,3)</f>
        <v>پرو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17</v>
      </c>
      <c r="C15" s="131" t="str">
        <f>TEXT( INDEX( GamesTable[Date], $B15 ),date.format)</f>
        <v>سه شنبه 4/5</v>
      </c>
      <c r="D15" s="132" t="str">
        <f xml:space="preserve"> INDEX( GamesTable[Venue], $B15 )</f>
        <v xml:space="preserve"> Moscow</v>
      </c>
      <c r="E15" s="62" t="str">
        <f xml:space="preserve"> INDEX( GamesTable[Team1], $B15 )</f>
        <v>دانمارک</v>
      </c>
      <c r="F15" s="63"/>
      <c r="G15" s="20"/>
      <c r="H15" s="19" t="s">
        <v>74</v>
      </c>
      <c r="I15" s="20"/>
      <c r="J15" s="63"/>
      <c r="K15" s="102" t="str">
        <f xml:space="preserve"> INDEX( GamesTable[Team2], $B15 )</f>
        <v>فرانسه</v>
      </c>
      <c r="L15" s="24"/>
      <c r="M15" s="24"/>
      <c r="N15" s="118">
        <f>INDEX(index.order,4)</f>
        <v>12</v>
      </c>
      <c r="O15" s="64" t="str">
        <f>INDEX(team.order,4)</f>
        <v>دانمارک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18</v>
      </c>
      <c r="C17" s="131" t="str">
        <f>TEXT( INDEX( GamesTable[Date], $B17 ),date.format)</f>
        <v>سه شنبه 4/5</v>
      </c>
      <c r="D17" s="132" t="str">
        <f xml:space="preserve"> INDEX( GamesTable[Venue], $B17 )</f>
        <v xml:space="preserve"> Sochi</v>
      </c>
      <c r="E17" s="62" t="str">
        <f xml:space="preserve"> INDEX( GamesTable[Team1], $B17 )</f>
        <v>استرالیا</v>
      </c>
      <c r="F17" s="63"/>
      <c r="G17" s="20"/>
      <c r="H17" s="19" t="s">
        <v>74</v>
      </c>
      <c r="I17" s="20"/>
      <c r="J17" s="63"/>
      <c r="K17" s="102" t="str">
        <f xml:space="preserve"> INDEX( GamesTable[Team2], $B17 )</f>
        <v>پرو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468</v>
      </c>
      <c r="F19" s="61"/>
      <c r="G19" s="59"/>
      <c r="H19" s="59"/>
      <c r="I19" s="59"/>
      <c r="J19" s="60" t="s">
        <v>469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فرانسه</v>
      </c>
      <c r="AD30" s="80" t="str">
        <f t="array" ref="AD30:AD35" xml:space="preserve"> INDEX( GroupMatchTeam2, 0, Group.Index )</f>
        <v>استرالیا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فرانسه</v>
      </c>
      <c r="AJ30" s="76">
        <f t="array" ref="AJ30:AJ33" xml:space="preserve"> 4*(Group.Index-1) + {1;2;3;4}</f>
        <v>9</v>
      </c>
      <c r="AK30" s="116">
        <f t="array" ref="AK30:AK33">INDEX(Groups.TeamIndices,,Group.Index)</f>
        <v>11</v>
      </c>
      <c r="AL30" s="23"/>
      <c r="AM30" s="78">
        <v>3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پرو</v>
      </c>
      <c r="AD31" s="84" t="str">
        <v>دانمارک</v>
      </c>
      <c r="AE31" s="85" t="e">
        <v>#N/A</v>
      </c>
      <c r="AF31" s="86" t="str">
        <v>34</v>
      </c>
      <c r="AG31" s="24"/>
      <c r="AH31" s="24"/>
      <c r="AI31" s="76" t="str">
        <v>استرالیا</v>
      </c>
      <c r="AJ31" s="76">
        <v>10</v>
      </c>
      <c r="AK31" s="116">
        <v>2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فرانسه</v>
      </c>
      <c r="AD32" s="84" t="str">
        <v>پرو</v>
      </c>
      <c r="AE32" s="85" t="e">
        <v>#N/A</v>
      </c>
      <c r="AF32" s="86" t="str">
        <v>13</v>
      </c>
      <c r="AG32" s="24"/>
      <c r="AH32" s="24"/>
      <c r="AI32" s="76" t="str">
        <v>پرو</v>
      </c>
      <c r="AJ32" s="76">
        <v>11</v>
      </c>
      <c r="AK32" s="116">
        <v>20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دانمارک</v>
      </c>
      <c r="AD33" s="84" t="str">
        <v>استرالیا</v>
      </c>
      <c r="AE33" s="85" t="e">
        <v>#N/A</v>
      </c>
      <c r="AF33" s="86" t="str">
        <v>42</v>
      </c>
      <c r="AG33" s="24"/>
      <c r="AH33" s="24"/>
      <c r="AI33" s="76" t="str">
        <v>دانمارک</v>
      </c>
      <c r="AJ33" s="76">
        <v>12</v>
      </c>
      <c r="AK33" s="116">
        <v>8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دانمارک</v>
      </c>
      <c r="AD34" s="84" t="str">
        <v>فرانسه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استرالیا</v>
      </c>
      <c r="AD35" s="88" t="str">
        <v>پرو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استرالیا</v>
      </c>
      <c r="AD36" s="92" t="str">
        <f t="array" ref="AD36:AD41" xml:space="preserve"> INDEX( GroupMatchTeam1, 0, Group.Index )</f>
        <v>فرانسه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دانمارک</v>
      </c>
      <c r="AD37" s="84" t="str">
        <v>پرو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پرو</v>
      </c>
      <c r="AD38" s="84" t="str">
        <v>فرانسه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فرانسه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استرالیا</v>
      </c>
      <c r="AD39" s="84" t="str">
        <v>دانمارک</v>
      </c>
      <c r="AE39" s="85" t="e">
        <v>#N/A</v>
      </c>
      <c r="AF39" s="86" t="str">
        <v>24</v>
      </c>
      <c r="AG39" s="24"/>
      <c r="AH39" s="24"/>
      <c r="AI39" s="76" t="str">
        <v>استرالیا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فرانسه</v>
      </c>
      <c r="AD40" s="84" t="str">
        <v>دانمارک</v>
      </c>
      <c r="AE40" s="85" t="e">
        <v>#N/A</v>
      </c>
      <c r="AF40" s="86" t="str">
        <v>14</v>
      </c>
      <c r="AG40" s="24"/>
      <c r="AH40" s="24"/>
      <c r="AI40" s="76" t="str">
        <v>پرو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پرو</v>
      </c>
      <c r="AD41" s="88" t="str">
        <v>استرالیا</v>
      </c>
      <c r="AE41" s="89" t="e">
        <v>#N/A</v>
      </c>
      <c r="AF41" s="90" t="str">
        <v>32</v>
      </c>
      <c r="AG41" s="23"/>
      <c r="AH41" s="23"/>
      <c r="AI41" s="76" t="str">
        <v>دانمارک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فرانسه</v>
      </c>
      <c r="AE45" s="76" t="str">
        <v>استرالیا</v>
      </c>
      <c r="AF45" s="76" t="str">
        <v>پرو</v>
      </c>
      <c r="AG45" s="76" t="str">
        <v>دانمارک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فرانسه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فرانسه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استرالیا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استرالیا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پرو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پرو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دانمارک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دانمارک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فرانسه</v>
      </c>
      <c r="AE51" s="76" t="str">
        <v>استرالیا</v>
      </c>
      <c r="AF51" s="76" t="str">
        <v>پرو</v>
      </c>
      <c r="AG51" s="76" t="str">
        <v>دانمارک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فرانسه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فرانسه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9</v>
      </c>
      <c r="AL52" s="116">
        <f t="array" ref="AL52:AL55" xml:space="preserve"> INDEX(team.index.alpha, order, 0)</f>
        <v>11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استرالیا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استرالیا</v>
      </c>
      <c r="AJ53" s="76">
        <v>0</v>
      </c>
      <c r="AK53" s="76">
        <v>10</v>
      </c>
      <c r="AL53" s="116">
        <v>2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پرو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پرو</v>
      </c>
      <c r="AJ54" s="76">
        <v>0</v>
      </c>
      <c r="AK54" s="76">
        <v>11</v>
      </c>
      <c r="AL54" s="116">
        <v>20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دانمارک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دانمارک</v>
      </c>
      <c r="AJ55" s="76">
        <v>0</v>
      </c>
      <c r="AK55" s="76">
        <v>12</v>
      </c>
      <c r="AL55" s="116">
        <v>8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فرانسه</v>
      </c>
      <c r="AE57" s="76" t="str">
        <v>استرالیا</v>
      </c>
      <c r="AF57" s="76" t="str">
        <v>پرو</v>
      </c>
      <c r="AG57" s="76" t="str">
        <v>دانمارک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فرانسه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استرالیا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پرو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دانمارک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فرانسه</v>
      </c>
      <c r="AE63" s="76" t="str">
        <v>استرالیا</v>
      </c>
      <c r="AF63" s="76" t="str">
        <v>پرو</v>
      </c>
      <c r="AG63" s="76" t="str">
        <v>دانمارک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فرانسه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استرالیا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پرو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دانمارک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17 I15 I13 I11 I9 I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19</v>
      </c>
      <c r="C7" s="131" t="str">
        <f>TEXT( INDEX( GamesTable[Date], $B7 ),date.format)</f>
        <v>شنبه 3/26</v>
      </c>
      <c r="D7" s="132" t="str">
        <f xml:space="preserve"> INDEX( GamesTable[Venue], $B7 )</f>
        <v xml:space="preserve"> Moscow</v>
      </c>
      <c r="E7" s="62" t="str">
        <f xml:space="preserve"> INDEX( GamesTable[Team1], $B7 )</f>
        <v>آرژانتین</v>
      </c>
      <c r="F7" s="63"/>
      <c r="G7" s="20"/>
      <c r="H7" s="19" t="s">
        <v>74</v>
      </c>
      <c r="I7" s="20"/>
      <c r="J7" s="63"/>
      <c r="K7" s="102" t="str">
        <f xml:space="preserve"> INDEX( GamesTable[Team2], $B7 )</f>
        <v>ایسلند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20</v>
      </c>
      <c r="C9" s="131" t="str">
        <f>TEXT( INDEX( GamesTable[Date], $B9 ),date.format)</f>
        <v>شنبه 3/26</v>
      </c>
      <c r="D9" s="132" t="str">
        <f xml:space="preserve"> INDEX( GamesTable[Venue], $B9 )</f>
        <v xml:space="preserve"> Kaliningrad</v>
      </c>
      <c r="E9" s="62" t="str">
        <f xml:space="preserve"> INDEX( GamesTable[Team1], $B9 )</f>
        <v>کروواسی</v>
      </c>
      <c r="F9" s="67"/>
      <c r="G9" s="20"/>
      <c r="H9" s="19" t="s">
        <v>74</v>
      </c>
      <c r="I9" s="20"/>
      <c r="J9" s="63"/>
      <c r="K9" s="102" t="str">
        <f xml:space="preserve"> INDEX( GamesTable[Team2], $B9 )</f>
        <v>نیجریه</v>
      </c>
      <c r="L9" s="24"/>
      <c r="M9" s="24"/>
      <c r="N9" s="118">
        <f>INDEX(index.order,1)</f>
        <v>13</v>
      </c>
      <c r="O9" s="64" t="str">
        <f>INDEX(team.order,1)</f>
        <v>آرژانتین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21</v>
      </c>
      <c r="C11" s="131" t="str">
        <f>TEXT( INDEX( GamesTable[Date], $B11 ),date.format)</f>
        <v>پنجشنبه 3/31</v>
      </c>
      <c r="D11" s="132" t="str">
        <f xml:space="preserve"> INDEX( GamesTable[Venue], $B11 )</f>
        <v xml:space="preserve"> Nizhny Novgorod</v>
      </c>
      <c r="E11" s="62" t="str">
        <f xml:space="preserve"> INDEX( GamesTable[Team1], $B11 )</f>
        <v>آرژانتین</v>
      </c>
      <c r="F11" s="67"/>
      <c r="G11" s="20"/>
      <c r="H11" s="19" t="s">
        <v>74</v>
      </c>
      <c r="I11" s="20"/>
      <c r="J11" s="63"/>
      <c r="K11" s="102" t="str">
        <f xml:space="preserve"> INDEX( GamesTable[Team2], $B11 )</f>
        <v>کروواسی</v>
      </c>
      <c r="L11" s="24"/>
      <c r="M11" s="24"/>
      <c r="N11" s="118">
        <f>INDEX(index.order,2)</f>
        <v>14</v>
      </c>
      <c r="O11" s="64" t="str">
        <f>INDEX(team.order,2)</f>
        <v>ایسلند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22</v>
      </c>
      <c r="C13" s="131" t="str">
        <f>TEXT( INDEX( GamesTable[Date], $B13 ),date.format)</f>
        <v>جمعه 4/1</v>
      </c>
      <c r="D13" s="132" t="str">
        <f xml:space="preserve"> INDEX( GamesTable[Venue], $B13 )</f>
        <v xml:space="preserve"> Volgograd</v>
      </c>
      <c r="E13" s="62" t="str">
        <f xml:space="preserve"> INDEX( GamesTable[Team1], $B13 )</f>
        <v>نیجریه</v>
      </c>
      <c r="F13" s="67"/>
      <c r="G13" s="20"/>
      <c r="H13" s="19" t="s">
        <v>74</v>
      </c>
      <c r="I13" s="20"/>
      <c r="J13" s="63"/>
      <c r="K13" s="102" t="str">
        <f xml:space="preserve"> INDEX( GamesTable[Team2], $B13 )</f>
        <v>ایسلند</v>
      </c>
      <c r="L13" s="24"/>
      <c r="M13" s="24"/>
      <c r="N13" s="118">
        <f>INDEX(index.order,3)</f>
        <v>15</v>
      </c>
      <c r="O13" s="64" t="str">
        <f>INDEX(team.order,3)</f>
        <v>کروواسی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23</v>
      </c>
      <c r="C15" s="131" t="str">
        <f>TEXT( INDEX( GamesTable[Date], $B15 ),date.format)</f>
        <v>سه شنبه 4/5</v>
      </c>
      <c r="D15" s="132" t="str">
        <f xml:space="preserve"> INDEX( GamesTable[Venue], $B15 )</f>
        <v xml:space="preserve"> Saint Petersburg</v>
      </c>
      <c r="E15" s="62" t="str">
        <f xml:space="preserve"> INDEX( GamesTable[Team1], $B15 )</f>
        <v>نیجریه</v>
      </c>
      <c r="F15" s="63"/>
      <c r="G15" s="20"/>
      <c r="H15" s="19" t="s">
        <v>74</v>
      </c>
      <c r="I15" s="20"/>
      <c r="J15" s="63"/>
      <c r="K15" s="102" t="str">
        <f xml:space="preserve"> INDEX( GamesTable[Team2], $B15 )</f>
        <v>آرژانتین</v>
      </c>
      <c r="L15" s="24"/>
      <c r="M15" s="24"/>
      <c r="N15" s="118">
        <f>INDEX(index.order,4)</f>
        <v>16</v>
      </c>
      <c r="O15" s="64" t="str">
        <f>INDEX(team.order,4)</f>
        <v>نیجریه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24</v>
      </c>
      <c r="C17" s="131" t="str">
        <f>TEXT( INDEX( GamesTable[Date], $B17 ),date.format)</f>
        <v>سه شنبه 4/5</v>
      </c>
      <c r="D17" s="132" t="str">
        <f xml:space="preserve"> INDEX( GamesTable[Venue], $B17 )</f>
        <v xml:space="preserve"> Rostov-on-Don</v>
      </c>
      <c r="E17" s="62" t="str">
        <f xml:space="preserve"> INDEX( GamesTable[Team1], $B17 )</f>
        <v>ایسلند</v>
      </c>
      <c r="F17" s="63"/>
      <c r="G17" s="20"/>
      <c r="H17" s="19" t="s">
        <v>74</v>
      </c>
      <c r="I17" s="20"/>
      <c r="J17" s="63"/>
      <c r="K17" s="102" t="str">
        <f xml:space="preserve"> INDEX( GamesTable[Team2], $B17 )</f>
        <v>کروواسی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470</v>
      </c>
      <c r="F19" s="61"/>
      <c r="G19" s="59"/>
      <c r="H19" s="59"/>
      <c r="I19" s="59"/>
      <c r="J19" s="60" t="s">
        <v>471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آرژانتین</v>
      </c>
      <c r="AD30" s="80" t="str">
        <f t="array" ref="AD30:AD35" xml:space="preserve"> INDEX( GroupMatchTeam2, 0, Group.Index )</f>
        <v>ایسلند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آرژانتین</v>
      </c>
      <c r="AJ30" s="76">
        <f t="array" ref="AJ30:AJ33" xml:space="preserve"> 4*(Group.Index-1) + {1;2;3;4}</f>
        <v>13</v>
      </c>
      <c r="AK30" s="116">
        <f t="array" ref="AK30:AK33">INDEX(Groups.TeamIndices,,Group.Index)</f>
        <v>1</v>
      </c>
      <c r="AL30" s="23"/>
      <c r="AM30" s="78">
        <v>4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کروواسی</v>
      </c>
      <c r="AD31" s="84" t="str">
        <v>نیجریه</v>
      </c>
      <c r="AE31" s="85" t="e">
        <v>#N/A</v>
      </c>
      <c r="AF31" s="86" t="str">
        <v>34</v>
      </c>
      <c r="AG31" s="24"/>
      <c r="AH31" s="24"/>
      <c r="AI31" s="76" t="str">
        <v>ایسلند</v>
      </c>
      <c r="AJ31" s="76">
        <v>14</v>
      </c>
      <c r="AK31" s="116">
        <v>13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آرژانتین</v>
      </c>
      <c r="AD32" s="84" t="str">
        <v>کروواسی</v>
      </c>
      <c r="AE32" s="85" t="e">
        <v>#N/A</v>
      </c>
      <c r="AF32" s="86" t="str">
        <v>13</v>
      </c>
      <c r="AG32" s="24"/>
      <c r="AH32" s="24"/>
      <c r="AI32" s="76" t="str">
        <v>کروواسی</v>
      </c>
      <c r="AJ32" s="76">
        <v>15</v>
      </c>
      <c r="AK32" s="116">
        <v>7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نیجریه</v>
      </c>
      <c r="AD33" s="84" t="str">
        <v>ایسلند</v>
      </c>
      <c r="AE33" s="85" t="e">
        <v>#N/A</v>
      </c>
      <c r="AF33" s="86" t="str">
        <v>42</v>
      </c>
      <c r="AG33" s="24"/>
      <c r="AH33" s="24"/>
      <c r="AI33" s="76" t="str">
        <v>نیجریه</v>
      </c>
      <c r="AJ33" s="76">
        <v>16</v>
      </c>
      <c r="AK33" s="116">
        <v>18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نیجریه</v>
      </c>
      <c r="AD34" s="84" t="str">
        <v>آرژانتین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ایسلند</v>
      </c>
      <c r="AD35" s="88" t="str">
        <v>کروواسی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ایسلند</v>
      </c>
      <c r="AD36" s="92" t="str">
        <f t="array" ref="AD36:AD41" xml:space="preserve"> INDEX( GroupMatchTeam1, 0, Group.Index )</f>
        <v>آرژانتین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نیجریه</v>
      </c>
      <c r="AD37" s="84" t="str">
        <v>کروواسی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کروواسی</v>
      </c>
      <c r="AD38" s="84" t="str">
        <v>آرژانتین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آرژانتین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ایسلند</v>
      </c>
      <c r="AD39" s="84" t="str">
        <v>نیجریه</v>
      </c>
      <c r="AE39" s="85" t="e">
        <v>#N/A</v>
      </c>
      <c r="AF39" s="86" t="str">
        <v>24</v>
      </c>
      <c r="AG39" s="24"/>
      <c r="AH39" s="24"/>
      <c r="AI39" s="76" t="str">
        <v>ایسلند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آرژانتین</v>
      </c>
      <c r="AD40" s="84" t="str">
        <v>نیجریه</v>
      </c>
      <c r="AE40" s="85" t="e">
        <v>#N/A</v>
      </c>
      <c r="AF40" s="86" t="str">
        <v>14</v>
      </c>
      <c r="AG40" s="24"/>
      <c r="AH40" s="24"/>
      <c r="AI40" s="76" t="str">
        <v>کروواسی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کروواسی</v>
      </c>
      <c r="AD41" s="88" t="str">
        <v>ایسلند</v>
      </c>
      <c r="AE41" s="89" t="e">
        <v>#N/A</v>
      </c>
      <c r="AF41" s="90" t="str">
        <v>32</v>
      </c>
      <c r="AG41" s="23"/>
      <c r="AH41" s="23"/>
      <c r="AI41" s="76" t="str">
        <v>نیجریه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آرژانتین</v>
      </c>
      <c r="AE45" s="76" t="str">
        <v>ایسلند</v>
      </c>
      <c r="AF45" s="76" t="str">
        <v>کروواسی</v>
      </c>
      <c r="AG45" s="76" t="str">
        <v>نیجریه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آرژانتین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آرژانتین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ایسلند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ایسلند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کروواسی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کروواسی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نیجریه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نیجریه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آرژانتین</v>
      </c>
      <c r="AE51" s="76" t="str">
        <v>ایسلند</v>
      </c>
      <c r="AF51" s="76" t="str">
        <v>کروواسی</v>
      </c>
      <c r="AG51" s="76" t="str">
        <v>نیجریه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آرژانتین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آرژانتین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13</v>
      </c>
      <c r="AL52" s="116">
        <f t="array" ref="AL52:AL55" xml:space="preserve"> INDEX(team.index.alpha, order, 0)</f>
        <v>1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ایسلند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ایسلند</v>
      </c>
      <c r="AJ53" s="76">
        <v>0</v>
      </c>
      <c r="AK53" s="76">
        <v>14</v>
      </c>
      <c r="AL53" s="116">
        <v>13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کروواسی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کروواسی</v>
      </c>
      <c r="AJ54" s="76">
        <v>0</v>
      </c>
      <c r="AK54" s="76">
        <v>15</v>
      </c>
      <c r="AL54" s="116">
        <v>7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نیجریه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نیجریه</v>
      </c>
      <c r="AJ55" s="76">
        <v>0</v>
      </c>
      <c r="AK55" s="76">
        <v>16</v>
      </c>
      <c r="AL55" s="116">
        <v>18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آرژانتین</v>
      </c>
      <c r="AE57" s="76" t="str">
        <v>ایسلند</v>
      </c>
      <c r="AF57" s="76" t="str">
        <v>کروواسی</v>
      </c>
      <c r="AG57" s="76" t="str">
        <v>نیجریه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آرژانتین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ایسلند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کروواسی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نیجریه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آرژانتین</v>
      </c>
      <c r="AE63" s="76" t="str">
        <v>ایسلند</v>
      </c>
      <c r="AF63" s="76" t="str">
        <v>کروواسی</v>
      </c>
      <c r="AG63" s="76" t="str">
        <v>نیجریه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آرژانتین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ایسلند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کروواسی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نیجریه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17 I15 I13 I11 I9 I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25</v>
      </c>
      <c r="C7" s="131" t="str">
        <f>TEXT( INDEX( GamesTable[Date], $B7 ),date.format)</f>
        <v>يكشنبه 3/27</v>
      </c>
      <c r="D7" s="132" t="str">
        <f xml:space="preserve"> INDEX( GamesTable[Venue], $B7 )</f>
        <v xml:space="preserve"> Rostov-on-Don</v>
      </c>
      <c r="E7" s="62" t="str">
        <f xml:space="preserve"> INDEX( GamesTable[Team1], $B7 )</f>
        <v>برزیل</v>
      </c>
      <c r="F7" s="63"/>
      <c r="G7" s="20"/>
      <c r="H7" s="19" t="s">
        <v>74</v>
      </c>
      <c r="I7" s="20"/>
      <c r="J7" s="63"/>
      <c r="K7" s="102" t="str">
        <f xml:space="preserve"> INDEX( GamesTable[Team2], $B7 )</f>
        <v>سوییس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26</v>
      </c>
      <c r="C9" s="131" t="str">
        <f>TEXT( INDEX( GamesTable[Date], $B9 ),date.format)</f>
        <v>يكشنبه 3/27</v>
      </c>
      <c r="D9" s="132" t="str">
        <f xml:space="preserve"> INDEX( GamesTable[Venue], $B9 )</f>
        <v xml:space="preserve"> Samara</v>
      </c>
      <c r="E9" s="62" t="str">
        <f xml:space="preserve"> INDEX( GamesTable[Team1], $B9 )</f>
        <v>کاستاریکا</v>
      </c>
      <c r="F9" s="67"/>
      <c r="G9" s="20"/>
      <c r="H9" s="19" t="s">
        <v>74</v>
      </c>
      <c r="I9" s="20"/>
      <c r="J9" s="63"/>
      <c r="K9" s="102" t="str">
        <f xml:space="preserve"> INDEX( GamesTable[Team2], $B9 )</f>
        <v>صربستان</v>
      </c>
      <c r="L9" s="24"/>
      <c r="M9" s="24"/>
      <c r="N9" s="118">
        <f>INDEX(index.order,1)</f>
        <v>17</v>
      </c>
      <c r="O9" s="64" t="str">
        <f>INDEX(team.order,1)</f>
        <v>برزیل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27</v>
      </c>
      <c r="C11" s="131" t="str">
        <f>TEXT( INDEX( GamesTable[Date], $B11 ),date.format)</f>
        <v>جمعه 4/1</v>
      </c>
      <c r="D11" s="132" t="str">
        <f xml:space="preserve"> INDEX( GamesTable[Venue], $B11 )</f>
        <v xml:space="preserve"> Saint Petersburg</v>
      </c>
      <c r="E11" s="62" t="str">
        <f xml:space="preserve"> INDEX( GamesTable[Team1], $B11 )</f>
        <v>برزیل</v>
      </c>
      <c r="F11" s="67"/>
      <c r="G11" s="20"/>
      <c r="H11" s="19" t="s">
        <v>74</v>
      </c>
      <c r="I11" s="20"/>
      <c r="J11" s="63"/>
      <c r="K11" s="102" t="str">
        <f xml:space="preserve"> INDEX( GamesTable[Team2], $B11 )</f>
        <v>کاستاریکا</v>
      </c>
      <c r="L11" s="24"/>
      <c r="M11" s="24"/>
      <c r="N11" s="118">
        <f>INDEX(index.order,2)</f>
        <v>18</v>
      </c>
      <c r="O11" s="64" t="str">
        <f>INDEX(team.order,2)</f>
        <v>سوییس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28</v>
      </c>
      <c r="C13" s="131" t="str">
        <f>TEXT( INDEX( GamesTable[Date], $B13 ),date.format)</f>
        <v>جمعه 4/1</v>
      </c>
      <c r="D13" s="132" t="str">
        <f xml:space="preserve"> INDEX( GamesTable[Venue], $B13 )</f>
        <v xml:space="preserve"> Kaliningrad</v>
      </c>
      <c r="E13" s="62" t="str">
        <f xml:space="preserve"> INDEX( GamesTable[Team1], $B13 )</f>
        <v>صربستان</v>
      </c>
      <c r="F13" s="67"/>
      <c r="G13" s="20"/>
      <c r="H13" s="19" t="s">
        <v>74</v>
      </c>
      <c r="I13" s="20"/>
      <c r="J13" s="63"/>
      <c r="K13" s="102" t="str">
        <f xml:space="preserve"> INDEX( GamesTable[Team2], $B13 )</f>
        <v>سوییس</v>
      </c>
      <c r="L13" s="24"/>
      <c r="M13" s="24"/>
      <c r="N13" s="118">
        <f>INDEX(index.order,3)</f>
        <v>19</v>
      </c>
      <c r="O13" s="64" t="str">
        <f>INDEX(team.order,3)</f>
        <v>کاستاریکا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29</v>
      </c>
      <c r="C15" s="131" t="str">
        <f>TEXT( INDEX( GamesTable[Date], $B15 ),date.format)</f>
        <v>چهارشنبه 4/6</v>
      </c>
      <c r="D15" s="132" t="str">
        <f xml:space="preserve"> INDEX( GamesTable[Venue], $B15 )</f>
        <v xml:space="preserve"> Moscow</v>
      </c>
      <c r="E15" s="62" t="str">
        <f xml:space="preserve"> INDEX( GamesTable[Team1], $B15 )</f>
        <v>صربستان</v>
      </c>
      <c r="F15" s="63"/>
      <c r="G15" s="20"/>
      <c r="H15" s="19" t="s">
        <v>74</v>
      </c>
      <c r="I15" s="20"/>
      <c r="J15" s="63"/>
      <c r="K15" s="102" t="str">
        <f xml:space="preserve"> INDEX( GamesTable[Team2], $B15 )</f>
        <v>برزیل</v>
      </c>
      <c r="L15" s="24"/>
      <c r="M15" s="24"/>
      <c r="N15" s="118">
        <f>INDEX(index.order,4)</f>
        <v>20</v>
      </c>
      <c r="O15" s="64" t="str">
        <f>INDEX(team.order,4)</f>
        <v>صربستان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30</v>
      </c>
      <c r="C17" s="131" t="str">
        <f>TEXT( INDEX( GamesTable[Date], $B17 ),date.format)</f>
        <v>چهارشنبه 4/6</v>
      </c>
      <c r="D17" s="132" t="str">
        <f xml:space="preserve"> INDEX( GamesTable[Venue], $B17 )</f>
        <v xml:space="preserve"> Nizhny Novgorod</v>
      </c>
      <c r="E17" s="62" t="str">
        <f xml:space="preserve"> INDEX( GamesTable[Team1], $B17 )</f>
        <v>سوییس</v>
      </c>
      <c r="F17" s="63"/>
      <c r="G17" s="20"/>
      <c r="H17" s="19" t="s">
        <v>74</v>
      </c>
      <c r="I17" s="20"/>
      <c r="J17" s="63"/>
      <c r="K17" s="102" t="str">
        <f xml:space="preserve"> INDEX( GamesTable[Team2], $B17 )</f>
        <v>کاستاریکا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478</v>
      </c>
      <c r="F19" s="61"/>
      <c r="G19" s="59"/>
      <c r="H19" s="59"/>
      <c r="I19" s="59"/>
      <c r="J19" s="60" t="s">
        <v>479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125"/>
      <c r="C22" s="125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برزیل</v>
      </c>
      <c r="AD30" s="80" t="str">
        <f t="array" ref="AD30:AD35" xml:space="preserve"> INDEX( GroupMatchTeam2, 0, Group.Index )</f>
        <v>سوییس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برزیل</v>
      </c>
      <c r="AJ30" s="76">
        <f t="array" ref="AJ30:AJ33" xml:space="preserve"> 4*(Group.Index-1) + {1;2;3;4}</f>
        <v>17</v>
      </c>
      <c r="AK30" s="116">
        <f t="array" ref="AK30:AK33">INDEX(Groups.TeamIndices,,Group.Index)</f>
        <v>4</v>
      </c>
      <c r="AL30" s="23"/>
      <c r="AM30" s="78">
        <v>5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کاستاریکا</v>
      </c>
      <c r="AD31" s="84" t="str">
        <v>صربستان</v>
      </c>
      <c r="AE31" s="85" t="e">
        <v>#N/A</v>
      </c>
      <c r="AF31" s="86" t="str">
        <v>34</v>
      </c>
      <c r="AG31" s="24"/>
      <c r="AH31" s="24"/>
      <c r="AI31" s="76" t="str">
        <v>سوییس</v>
      </c>
      <c r="AJ31" s="76">
        <v>18</v>
      </c>
      <c r="AK31" s="116">
        <v>30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برزیل</v>
      </c>
      <c r="AD32" s="84" t="str">
        <v>کاستاریکا</v>
      </c>
      <c r="AE32" s="85" t="e">
        <v>#N/A</v>
      </c>
      <c r="AF32" s="86" t="str">
        <v>13</v>
      </c>
      <c r="AG32" s="24"/>
      <c r="AH32" s="24"/>
      <c r="AI32" s="76" t="str">
        <v>کاستاریکا</v>
      </c>
      <c r="AJ32" s="76">
        <v>19</v>
      </c>
      <c r="AK32" s="116">
        <v>6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صربستان</v>
      </c>
      <c r="AD33" s="84" t="str">
        <v>سوییس</v>
      </c>
      <c r="AE33" s="85" t="e">
        <v>#N/A</v>
      </c>
      <c r="AF33" s="86" t="str">
        <v>42</v>
      </c>
      <c r="AG33" s="24"/>
      <c r="AH33" s="24"/>
      <c r="AI33" s="76" t="str">
        <v>صربستان</v>
      </c>
      <c r="AJ33" s="76">
        <v>20</v>
      </c>
      <c r="AK33" s="116">
        <v>26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صربستان</v>
      </c>
      <c r="AD34" s="84" t="str">
        <v>برزیل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سوییس</v>
      </c>
      <c r="AD35" s="88" t="str">
        <v>کاستاریکا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سوییس</v>
      </c>
      <c r="AD36" s="92" t="str">
        <f t="array" ref="AD36:AD41" xml:space="preserve"> INDEX( GroupMatchTeam1, 0, Group.Index )</f>
        <v>برزیل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صربستان</v>
      </c>
      <c r="AD37" s="84" t="str">
        <v>کاستاریکا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کاستاریکا</v>
      </c>
      <c r="AD38" s="84" t="str">
        <v>برزیل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برزیل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سوییس</v>
      </c>
      <c r="AD39" s="84" t="str">
        <v>صربستان</v>
      </c>
      <c r="AE39" s="85" t="e">
        <v>#N/A</v>
      </c>
      <c r="AF39" s="86" t="str">
        <v>24</v>
      </c>
      <c r="AG39" s="24"/>
      <c r="AH39" s="24"/>
      <c r="AI39" s="76" t="str">
        <v>سوییس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برزیل</v>
      </c>
      <c r="AD40" s="84" t="str">
        <v>صربستان</v>
      </c>
      <c r="AE40" s="85" t="e">
        <v>#N/A</v>
      </c>
      <c r="AF40" s="86" t="str">
        <v>14</v>
      </c>
      <c r="AG40" s="24"/>
      <c r="AH40" s="24"/>
      <c r="AI40" s="76" t="str">
        <v>کاستاریکا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کاستاریکا</v>
      </c>
      <c r="AD41" s="88" t="str">
        <v>سوییس</v>
      </c>
      <c r="AE41" s="89" t="e">
        <v>#N/A</v>
      </c>
      <c r="AF41" s="90" t="str">
        <v>32</v>
      </c>
      <c r="AG41" s="23"/>
      <c r="AH41" s="23"/>
      <c r="AI41" s="76" t="str">
        <v>صربستان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برزیل</v>
      </c>
      <c r="AE45" s="76" t="str">
        <v>سوییس</v>
      </c>
      <c r="AF45" s="76" t="str">
        <v>کاستاریکا</v>
      </c>
      <c r="AG45" s="76" t="str">
        <v>صربستان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برزیل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برزیل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سوییس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سوییس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کاستاریکا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کاستاریکا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صربستان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صربستان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برزیل</v>
      </c>
      <c r="AE51" s="76" t="str">
        <v>سوییس</v>
      </c>
      <c r="AF51" s="76" t="str">
        <v>کاستاریکا</v>
      </c>
      <c r="AG51" s="76" t="str">
        <v>صربستان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برزیل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برزیل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17</v>
      </c>
      <c r="AL52" s="116">
        <f t="array" ref="AL52:AL55" xml:space="preserve"> INDEX(team.index.alpha, order, 0)</f>
        <v>4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سوییس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سوییس</v>
      </c>
      <c r="AJ53" s="76">
        <v>0</v>
      </c>
      <c r="AK53" s="76">
        <v>18</v>
      </c>
      <c r="AL53" s="116">
        <v>30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کاستاریکا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کاستاریکا</v>
      </c>
      <c r="AJ54" s="76">
        <v>0</v>
      </c>
      <c r="AK54" s="76">
        <v>19</v>
      </c>
      <c r="AL54" s="116">
        <v>6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صربستان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صربستان</v>
      </c>
      <c r="AJ55" s="76">
        <v>0</v>
      </c>
      <c r="AK55" s="76">
        <v>20</v>
      </c>
      <c r="AL55" s="116">
        <v>26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برزیل</v>
      </c>
      <c r="AE57" s="76" t="str">
        <v>سوییس</v>
      </c>
      <c r="AF57" s="76" t="str">
        <v>کاستاریکا</v>
      </c>
      <c r="AG57" s="76" t="str">
        <v>صربستان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برزیل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سوییس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کاستاریکا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صربستان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برزیل</v>
      </c>
      <c r="AE63" s="76" t="str">
        <v>سوییس</v>
      </c>
      <c r="AF63" s="76" t="str">
        <v>کاستاریکا</v>
      </c>
      <c r="AG63" s="76" t="str">
        <v>صربستان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برزیل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سوییس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کاستاریکا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صربستان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7 I9 I11 I13 I15 I1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31</v>
      </c>
      <c r="C7" s="131" t="str">
        <f>TEXT( INDEX( GamesTable[Date], $B7 ),date.format)</f>
        <v>يكشنبه 3/27</v>
      </c>
      <c r="D7" s="132" t="str">
        <f xml:space="preserve"> INDEX( GamesTable[Venue], $B7 )</f>
        <v xml:space="preserve"> Moscow</v>
      </c>
      <c r="E7" s="62" t="str">
        <f xml:space="preserve"> INDEX( GamesTable[Team1], $B7 )</f>
        <v>آلمان</v>
      </c>
      <c r="F7" s="63"/>
      <c r="G7" s="20"/>
      <c r="H7" s="135" t="s">
        <v>74</v>
      </c>
      <c r="I7" s="20"/>
      <c r="J7" s="63"/>
      <c r="K7" s="102" t="str">
        <f xml:space="preserve"> INDEX( GamesTable[Team2], $B7 )</f>
        <v>مکزیک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32</v>
      </c>
      <c r="C9" s="131" t="str">
        <f>TEXT( INDEX( GamesTable[Date], $B9 ),date.format)</f>
        <v>دوشنبه 3/28</v>
      </c>
      <c r="D9" s="132" t="str">
        <f xml:space="preserve"> INDEX( GamesTable[Venue], $B9 )</f>
        <v xml:space="preserve"> Nizhny Novgorod</v>
      </c>
      <c r="E9" s="62" t="str">
        <f xml:space="preserve"> INDEX( GamesTable[Team1], $B9 )</f>
        <v>سوئد</v>
      </c>
      <c r="F9" s="67"/>
      <c r="G9" s="20"/>
      <c r="H9" s="135" t="s">
        <v>74</v>
      </c>
      <c r="I9" s="20"/>
      <c r="J9" s="63"/>
      <c r="K9" s="102" t="str">
        <f xml:space="preserve"> INDEX( GamesTable[Team2], $B9 )</f>
        <v>کره جنوبی</v>
      </c>
      <c r="L9" s="24"/>
      <c r="M9" s="24"/>
      <c r="N9" s="118">
        <f>INDEX(index.order,1)</f>
        <v>21</v>
      </c>
      <c r="O9" s="64" t="str">
        <f>INDEX(team.order,1)</f>
        <v>آلمان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33</v>
      </c>
      <c r="C11" s="131" t="str">
        <f>TEXT( INDEX( GamesTable[Date], $B11 ),date.format)</f>
        <v>شنبه 4/2</v>
      </c>
      <c r="D11" s="132" t="str">
        <f xml:space="preserve"> INDEX( GamesTable[Venue], $B11 )</f>
        <v xml:space="preserve"> Sochi</v>
      </c>
      <c r="E11" s="62" t="str">
        <f xml:space="preserve"> INDEX( GamesTable[Team1], $B11 )</f>
        <v>آلمان</v>
      </c>
      <c r="F11" s="67"/>
      <c r="G11" s="20"/>
      <c r="H11" s="135" t="s">
        <v>74</v>
      </c>
      <c r="I11" s="20"/>
      <c r="J11" s="63"/>
      <c r="K11" s="102" t="str">
        <f xml:space="preserve"> INDEX( GamesTable[Team2], $B11 )</f>
        <v>سوئد</v>
      </c>
      <c r="L11" s="24"/>
      <c r="M11" s="24"/>
      <c r="N11" s="118">
        <f>INDEX(index.order,2)</f>
        <v>22</v>
      </c>
      <c r="O11" s="64" t="str">
        <f>INDEX(team.order,2)</f>
        <v>مکزیک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34</v>
      </c>
      <c r="C13" s="131" t="str">
        <f>TEXT( INDEX( GamesTable[Date], $B13 ),date.format)</f>
        <v>شنبه 4/2</v>
      </c>
      <c r="D13" s="132" t="str">
        <f xml:space="preserve"> INDEX( GamesTable[Venue], $B13 )</f>
        <v xml:space="preserve"> Rostov-on-Don</v>
      </c>
      <c r="E13" s="62" t="str">
        <f xml:space="preserve"> INDEX( GamesTable[Team1], $B13 )</f>
        <v>کره جنوبی</v>
      </c>
      <c r="F13" s="67"/>
      <c r="G13" s="20"/>
      <c r="H13" s="135" t="s">
        <v>74</v>
      </c>
      <c r="I13" s="20"/>
      <c r="J13" s="63"/>
      <c r="K13" s="102" t="str">
        <f xml:space="preserve"> INDEX( GamesTable[Team2], $B13 )</f>
        <v>مکزیک</v>
      </c>
      <c r="L13" s="24"/>
      <c r="M13" s="24"/>
      <c r="N13" s="118">
        <f>INDEX(index.order,3)</f>
        <v>23</v>
      </c>
      <c r="O13" s="64" t="str">
        <f>INDEX(team.order,3)</f>
        <v>سوئد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35</v>
      </c>
      <c r="C15" s="131" t="str">
        <f>TEXT( INDEX( GamesTable[Date], $B15 ),date.format)</f>
        <v>چهارشنبه 4/6</v>
      </c>
      <c r="D15" s="132" t="str">
        <f xml:space="preserve"> INDEX( GamesTable[Venue], $B15 )</f>
        <v xml:space="preserve"> Kazan</v>
      </c>
      <c r="E15" s="62" t="str">
        <f xml:space="preserve"> INDEX( GamesTable[Team1], $B15 )</f>
        <v>کره جنوبی</v>
      </c>
      <c r="F15" s="63"/>
      <c r="G15" s="20"/>
      <c r="H15" s="135" t="s">
        <v>74</v>
      </c>
      <c r="I15" s="20"/>
      <c r="J15" s="63"/>
      <c r="K15" s="102" t="str">
        <f xml:space="preserve"> INDEX( GamesTable[Team2], $B15 )</f>
        <v>آلمان</v>
      </c>
      <c r="L15" s="24"/>
      <c r="M15" s="24"/>
      <c r="N15" s="118">
        <f>INDEX(index.order,4)</f>
        <v>24</v>
      </c>
      <c r="O15" s="64" t="str">
        <f>INDEX(team.order,4)</f>
        <v>کره جنوبی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36</v>
      </c>
      <c r="C17" s="131" t="str">
        <f>TEXT( INDEX( GamesTable[Date], $B17 ),date.format)</f>
        <v>چهارشنبه 4/6</v>
      </c>
      <c r="D17" s="132" t="str">
        <f xml:space="preserve"> INDEX( GamesTable[Venue], $B17 )</f>
        <v xml:space="preserve"> Ekaterinburg</v>
      </c>
      <c r="E17" s="62" t="str">
        <f xml:space="preserve"> INDEX( GamesTable[Team1], $B17 )</f>
        <v>مکزیک</v>
      </c>
      <c r="F17" s="63"/>
      <c r="G17" s="20"/>
      <c r="H17" s="135" t="s">
        <v>74</v>
      </c>
      <c r="I17" s="20"/>
      <c r="J17" s="63"/>
      <c r="K17" s="102" t="str">
        <f xml:space="preserve"> INDEX( GamesTable[Team2], $B17 )</f>
        <v>سوئد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476</v>
      </c>
      <c r="F19" s="61"/>
      <c r="G19" s="59"/>
      <c r="H19" s="59"/>
      <c r="I19" s="59"/>
      <c r="J19" s="60" t="s">
        <v>477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آلمان</v>
      </c>
      <c r="AD30" s="80" t="str">
        <f t="array" ref="AD30:AD35" xml:space="preserve"> INDEX( GroupMatchTeam2, 0, Group.Index )</f>
        <v>مکزیک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آلمان</v>
      </c>
      <c r="AJ30" s="76">
        <f t="array" ref="AJ30:AJ33" xml:space="preserve"> 4*(Group.Index-1) + {1;2;3;4}</f>
        <v>21</v>
      </c>
      <c r="AK30" s="116">
        <f t="array" ref="AK30:AK33">INDEX(Groups.TeamIndices,,Group.Index)</f>
        <v>12</v>
      </c>
      <c r="AL30" s="23"/>
      <c r="AM30" s="78">
        <v>6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سوئد</v>
      </c>
      <c r="AD31" s="84" t="str">
        <v>کره جنوبی</v>
      </c>
      <c r="AE31" s="85" t="e">
        <v>#N/A</v>
      </c>
      <c r="AF31" s="86" t="str">
        <v>34</v>
      </c>
      <c r="AG31" s="24"/>
      <c r="AH31" s="24"/>
      <c r="AI31" s="76" t="str">
        <v>مکزیک</v>
      </c>
      <c r="AJ31" s="76">
        <v>22</v>
      </c>
      <c r="AK31" s="116">
        <v>16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آلمان</v>
      </c>
      <c r="AD32" s="84" t="str">
        <v>سوئد</v>
      </c>
      <c r="AE32" s="85" t="e">
        <v>#N/A</v>
      </c>
      <c r="AF32" s="86" t="str">
        <v>13</v>
      </c>
      <c r="AG32" s="24"/>
      <c r="AH32" s="24"/>
      <c r="AI32" s="76" t="str">
        <v>سوئد</v>
      </c>
      <c r="AJ32" s="76">
        <v>23</v>
      </c>
      <c r="AK32" s="116">
        <v>29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کره جنوبی</v>
      </c>
      <c r="AD33" s="84" t="str">
        <v>مکزیک</v>
      </c>
      <c r="AE33" s="85" t="e">
        <v>#N/A</v>
      </c>
      <c r="AF33" s="86" t="str">
        <v>42</v>
      </c>
      <c r="AG33" s="24"/>
      <c r="AH33" s="24"/>
      <c r="AI33" s="76" t="str">
        <v>کره جنوبی</v>
      </c>
      <c r="AJ33" s="76">
        <v>24</v>
      </c>
      <c r="AK33" s="116">
        <v>27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کره جنوبی</v>
      </c>
      <c r="AD34" s="84" t="str">
        <v>آلمان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مکزیک</v>
      </c>
      <c r="AD35" s="88" t="str">
        <v>سوئد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مکزیک</v>
      </c>
      <c r="AD36" s="92" t="str">
        <f t="array" ref="AD36:AD41" xml:space="preserve"> INDEX( GroupMatchTeam1, 0, Group.Index )</f>
        <v>آلمان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کره جنوبی</v>
      </c>
      <c r="AD37" s="84" t="str">
        <v>سوئد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سوئد</v>
      </c>
      <c r="AD38" s="84" t="str">
        <v>آلمان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آلمان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مکزیک</v>
      </c>
      <c r="AD39" s="84" t="str">
        <v>کره جنوبی</v>
      </c>
      <c r="AE39" s="85" t="e">
        <v>#N/A</v>
      </c>
      <c r="AF39" s="86" t="str">
        <v>24</v>
      </c>
      <c r="AG39" s="24"/>
      <c r="AH39" s="24"/>
      <c r="AI39" s="76" t="str">
        <v>مکزیک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آلمان</v>
      </c>
      <c r="AD40" s="84" t="str">
        <v>کره جنوبی</v>
      </c>
      <c r="AE40" s="85" t="e">
        <v>#N/A</v>
      </c>
      <c r="AF40" s="86" t="str">
        <v>14</v>
      </c>
      <c r="AG40" s="24"/>
      <c r="AH40" s="24"/>
      <c r="AI40" s="76" t="str">
        <v>سوئد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سوئد</v>
      </c>
      <c r="AD41" s="88" t="str">
        <v>مکزیک</v>
      </c>
      <c r="AE41" s="89" t="e">
        <v>#N/A</v>
      </c>
      <c r="AF41" s="90" t="str">
        <v>32</v>
      </c>
      <c r="AG41" s="23"/>
      <c r="AH41" s="23"/>
      <c r="AI41" s="76" t="str">
        <v>کره جنوبی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آلمان</v>
      </c>
      <c r="AE45" s="76" t="str">
        <v>مکزیک</v>
      </c>
      <c r="AF45" s="76" t="str">
        <v>سوئد</v>
      </c>
      <c r="AG45" s="76" t="str">
        <v>کره جنوبی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آلمان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آلمان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مکزیک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مکزیک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سوئد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سوئد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کره جنوبی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کره جنوبی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آلمان</v>
      </c>
      <c r="AE51" s="76" t="str">
        <v>مکزیک</v>
      </c>
      <c r="AF51" s="76" t="str">
        <v>سوئد</v>
      </c>
      <c r="AG51" s="76" t="str">
        <v>کره جنوبی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آلمان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آلمان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21</v>
      </c>
      <c r="AL52" s="116">
        <f t="array" ref="AL52:AL55" xml:space="preserve"> INDEX(team.index.alpha, order, 0)</f>
        <v>12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مکزیک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مکزیک</v>
      </c>
      <c r="AJ53" s="76">
        <v>0</v>
      </c>
      <c r="AK53" s="76">
        <v>22</v>
      </c>
      <c r="AL53" s="116">
        <v>16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سوئد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سوئد</v>
      </c>
      <c r="AJ54" s="76">
        <v>0</v>
      </c>
      <c r="AK54" s="76">
        <v>23</v>
      </c>
      <c r="AL54" s="116">
        <v>29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کره جنوبی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کره جنوبی</v>
      </c>
      <c r="AJ55" s="76">
        <v>0</v>
      </c>
      <c r="AK55" s="76">
        <v>24</v>
      </c>
      <c r="AL55" s="116">
        <v>27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آلمان</v>
      </c>
      <c r="AE57" s="76" t="str">
        <v>مکزیک</v>
      </c>
      <c r="AF57" s="76" t="str">
        <v>سوئد</v>
      </c>
      <c r="AG57" s="76" t="str">
        <v>کره جنوبی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آلمان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مکزیک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سوئد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کره جنوبی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آلمان</v>
      </c>
      <c r="AE63" s="76" t="str">
        <v>مکزیک</v>
      </c>
      <c r="AF63" s="76" t="str">
        <v>سوئد</v>
      </c>
      <c r="AG63" s="76" t="str">
        <v>کره جنوبی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آلمان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مکزیک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سوئد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کره جنوبی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7 I9 I11 I13 I15 I1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 t="s">
        <v>75</v>
      </c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125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37</v>
      </c>
      <c r="C7" s="131" t="str">
        <f>TEXT( INDEX( GamesTable[Date], $B7 ),date.format)</f>
        <v>دوشنبه 3/28</v>
      </c>
      <c r="D7" s="132" t="str">
        <f xml:space="preserve"> INDEX( GamesTable[Venue], $B7 )</f>
        <v xml:space="preserve"> Sochi</v>
      </c>
      <c r="E7" s="62" t="str">
        <f xml:space="preserve"> INDEX( GamesTable[Team1], $B7 )</f>
        <v>بلژیک</v>
      </c>
      <c r="F7" s="63"/>
      <c r="G7" s="20"/>
      <c r="H7" s="135" t="s">
        <v>74</v>
      </c>
      <c r="I7" s="20"/>
      <c r="J7" s="63"/>
      <c r="K7" s="102" t="str">
        <f xml:space="preserve"> INDEX( GamesTable[Team2], $B7 )</f>
        <v>پاناما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38</v>
      </c>
      <c r="C9" s="131" t="str">
        <f>TEXT( INDEX( GamesTable[Date], $B9 ),date.format)</f>
        <v>دوشنبه 3/28</v>
      </c>
      <c r="D9" s="132" t="str">
        <f xml:space="preserve"> INDEX( GamesTable[Venue], $B9 )</f>
        <v xml:space="preserve"> Volgograd</v>
      </c>
      <c r="E9" s="62" t="str">
        <f xml:space="preserve"> INDEX( GamesTable[Team1], $B9 )</f>
        <v>تونس</v>
      </c>
      <c r="F9" s="67"/>
      <c r="G9" s="20"/>
      <c r="H9" s="135" t="s">
        <v>74</v>
      </c>
      <c r="I9" s="20"/>
      <c r="J9" s="63"/>
      <c r="K9" s="102" t="str">
        <f xml:space="preserve"> INDEX( GamesTable[Team2], $B9 )</f>
        <v>انگلستان</v>
      </c>
      <c r="L9" s="24"/>
      <c r="M9" s="24"/>
      <c r="N9" s="118">
        <f>INDEX(index.order,1)</f>
        <v>25</v>
      </c>
      <c r="O9" s="64" t="str">
        <f>INDEX(team.order,1)</f>
        <v>بلژیک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39</v>
      </c>
      <c r="C11" s="131" t="str">
        <f>TEXT( INDEX( GamesTable[Date], $B11 ),date.format)</f>
        <v>شنبه 4/2</v>
      </c>
      <c r="D11" s="132" t="str">
        <f xml:space="preserve"> INDEX( GamesTable[Venue], $B11 )</f>
        <v xml:space="preserve"> Moscow</v>
      </c>
      <c r="E11" s="62" t="str">
        <f xml:space="preserve"> INDEX( GamesTable[Team1], $B11 )</f>
        <v>بلژیک</v>
      </c>
      <c r="F11" s="67"/>
      <c r="G11" s="20"/>
      <c r="H11" s="135" t="s">
        <v>74</v>
      </c>
      <c r="I11" s="20"/>
      <c r="J11" s="63"/>
      <c r="K11" s="102" t="str">
        <f xml:space="preserve"> INDEX( GamesTable[Team2], $B11 )</f>
        <v>تونس</v>
      </c>
      <c r="L11" s="24"/>
      <c r="M11" s="24"/>
      <c r="N11" s="118">
        <f>INDEX(index.order,2)</f>
        <v>26</v>
      </c>
      <c r="O11" s="64" t="str">
        <f>INDEX(team.order,2)</f>
        <v>پاناما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40</v>
      </c>
      <c r="C13" s="131" t="str">
        <f>TEXT( INDEX( GamesTable[Date], $B13 ),date.format)</f>
        <v>يكشنبه 4/3</v>
      </c>
      <c r="D13" s="132" t="str">
        <f xml:space="preserve"> INDEX( GamesTable[Venue], $B13 )</f>
        <v xml:space="preserve"> Nizhny Novgorod</v>
      </c>
      <c r="E13" s="62" t="str">
        <f xml:space="preserve"> INDEX( GamesTable[Team1], $B13 )</f>
        <v>انگلستان</v>
      </c>
      <c r="F13" s="67"/>
      <c r="G13" s="20"/>
      <c r="H13" s="135" t="s">
        <v>74</v>
      </c>
      <c r="I13" s="20"/>
      <c r="J13" s="63"/>
      <c r="K13" s="102" t="str">
        <f xml:space="preserve"> INDEX( GamesTable[Team2], $B13 )</f>
        <v>پاناما</v>
      </c>
      <c r="L13" s="24"/>
      <c r="M13" s="24"/>
      <c r="N13" s="118">
        <f>INDEX(index.order,3)</f>
        <v>27</v>
      </c>
      <c r="O13" s="64" t="str">
        <f>INDEX(team.order,3)</f>
        <v>تونس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41</v>
      </c>
      <c r="C15" s="131" t="str">
        <f>TEXT( INDEX( GamesTable[Date], $B15 ),date.format)</f>
        <v>پنجشنبه 4/7</v>
      </c>
      <c r="D15" s="132" t="str">
        <f xml:space="preserve"> INDEX( GamesTable[Venue], $B15 )</f>
        <v xml:space="preserve"> Kaliningrad</v>
      </c>
      <c r="E15" s="62" t="str">
        <f xml:space="preserve"> INDEX( GamesTable[Team1], $B15 )</f>
        <v>انگلستان</v>
      </c>
      <c r="F15" s="63"/>
      <c r="G15" s="20"/>
      <c r="H15" s="135" t="s">
        <v>74</v>
      </c>
      <c r="I15" s="20"/>
      <c r="J15" s="63"/>
      <c r="K15" s="102" t="str">
        <f xml:space="preserve"> INDEX( GamesTable[Team2], $B15 )</f>
        <v>بلژیک</v>
      </c>
      <c r="L15" s="24"/>
      <c r="M15" s="24"/>
      <c r="N15" s="118">
        <f>INDEX(index.order,4)</f>
        <v>28</v>
      </c>
      <c r="O15" s="64" t="str">
        <f>INDEX(team.order,4)</f>
        <v>انگلستان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42</v>
      </c>
      <c r="C17" s="131" t="str">
        <f>TEXT( INDEX( GamesTable[Date], $B17 ),date.format)</f>
        <v>پنجشنبه 4/7</v>
      </c>
      <c r="D17" s="132" t="str">
        <f xml:space="preserve"> INDEX( GamesTable[Venue], $B17 )</f>
        <v xml:space="preserve"> Saransk</v>
      </c>
      <c r="E17" s="62" t="str">
        <f xml:space="preserve"> INDEX( GamesTable[Team1], $B17 )</f>
        <v>پاناما</v>
      </c>
      <c r="F17" s="63"/>
      <c r="G17" s="20"/>
      <c r="H17" s="135" t="s">
        <v>74</v>
      </c>
      <c r="I17" s="20"/>
      <c r="J17" s="63"/>
      <c r="K17" s="102" t="str">
        <f xml:space="preserve"> INDEX( GamesTable[Team2], $B17 )</f>
        <v>تونس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474</v>
      </c>
      <c r="F19" s="61"/>
      <c r="G19" s="59"/>
      <c r="H19" s="59"/>
      <c r="I19" s="59"/>
      <c r="J19" s="60" t="s">
        <v>475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بلژیک</v>
      </c>
      <c r="AD30" s="80" t="str">
        <f t="array" ref="AD30:AD35" xml:space="preserve"> INDEX( GroupMatchTeam2, 0, Group.Index )</f>
        <v>پاناما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بلژیک</v>
      </c>
      <c r="AJ30" s="76">
        <f t="array" ref="AJ30:AJ33" xml:space="preserve"> 4*(Group.Index-1) + {1;2;3;4}</f>
        <v>25</v>
      </c>
      <c r="AK30" s="116">
        <f t="array" ref="AK30:AK33">INDEX(Groups.TeamIndices,,Group.Index)</f>
        <v>3</v>
      </c>
      <c r="AL30" s="23"/>
      <c r="AM30" s="78">
        <v>7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تونس</v>
      </c>
      <c r="AD31" s="84" t="str">
        <v>انگلستان</v>
      </c>
      <c r="AE31" s="85" t="e">
        <v>#N/A</v>
      </c>
      <c r="AF31" s="86" t="str">
        <v>34</v>
      </c>
      <c r="AG31" s="24"/>
      <c r="AH31" s="24"/>
      <c r="AI31" s="76" t="str">
        <v>پاناما</v>
      </c>
      <c r="AJ31" s="76">
        <v>26</v>
      </c>
      <c r="AK31" s="116">
        <v>19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بلژیک</v>
      </c>
      <c r="AD32" s="84" t="str">
        <v>تونس</v>
      </c>
      <c r="AE32" s="85" t="e">
        <v>#N/A</v>
      </c>
      <c r="AF32" s="86" t="str">
        <v>13</v>
      </c>
      <c r="AG32" s="24"/>
      <c r="AH32" s="24"/>
      <c r="AI32" s="76" t="str">
        <v>تونس</v>
      </c>
      <c r="AJ32" s="76">
        <v>27</v>
      </c>
      <c r="AK32" s="116">
        <v>31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انگلستان</v>
      </c>
      <c r="AD33" s="84" t="str">
        <v>پاناما</v>
      </c>
      <c r="AE33" s="85" t="e">
        <v>#N/A</v>
      </c>
      <c r="AF33" s="86" t="str">
        <v>42</v>
      </c>
      <c r="AG33" s="24"/>
      <c r="AH33" s="24"/>
      <c r="AI33" s="76" t="str">
        <v>انگلستان</v>
      </c>
      <c r="AJ33" s="76">
        <v>28</v>
      </c>
      <c r="AK33" s="116">
        <v>10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انگلستان</v>
      </c>
      <c r="AD34" s="84" t="str">
        <v>بلژیک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پاناما</v>
      </c>
      <c r="AD35" s="88" t="str">
        <v>تونس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پاناما</v>
      </c>
      <c r="AD36" s="92" t="str">
        <f t="array" ref="AD36:AD41" xml:space="preserve"> INDEX( GroupMatchTeam1, 0, Group.Index )</f>
        <v>بلژیک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انگلستان</v>
      </c>
      <c r="AD37" s="84" t="str">
        <v>تونس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تونس</v>
      </c>
      <c r="AD38" s="84" t="str">
        <v>بلژیک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بلژیک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پاناما</v>
      </c>
      <c r="AD39" s="84" t="str">
        <v>انگلستان</v>
      </c>
      <c r="AE39" s="85" t="e">
        <v>#N/A</v>
      </c>
      <c r="AF39" s="86" t="str">
        <v>24</v>
      </c>
      <c r="AG39" s="24"/>
      <c r="AH39" s="24"/>
      <c r="AI39" s="76" t="str">
        <v>پاناما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بلژیک</v>
      </c>
      <c r="AD40" s="84" t="str">
        <v>انگلستان</v>
      </c>
      <c r="AE40" s="85" t="e">
        <v>#N/A</v>
      </c>
      <c r="AF40" s="86" t="str">
        <v>14</v>
      </c>
      <c r="AG40" s="24"/>
      <c r="AH40" s="24"/>
      <c r="AI40" s="76" t="str">
        <v>تونس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تونس</v>
      </c>
      <c r="AD41" s="88" t="str">
        <v>پاناما</v>
      </c>
      <c r="AE41" s="89" t="e">
        <v>#N/A</v>
      </c>
      <c r="AF41" s="90" t="str">
        <v>32</v>
      </c>
      <c r="AG41" s="23"/>
      <c r="AH41" s="23"/>
      <c r="AI41" s="76" t="str">
        <v>انگلستان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بلژیک</v>
      </c>
      <c r="AE45" s="76" t="str">
        <v>پاناما</v>
      </c>
      <c r="AF45" s="76" t="str">
        <v>تونس</v>
      </c>
      <c r="AG45" s="76" t="str">
        <v>انگلستان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بلژیک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بلژیک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پاناما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پاناما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تونس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تونس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انگلستان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انگلستان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بلژیک</v>
      </c>
      <c r="AE51" s="76" t="str">
        <v>پاناما</v>
      </c>
      <c r="AF51" s="76" t="str">
        <v>تونس</v>
      </c>
      <c r="AG51" s="76" t="str">
        <v>انگلستان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بلژیک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بلژیک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25</v>
      </c>
      <c r="AL52" s="116">
        <f t="array" ref="AL52:AL55" xml:space="preserve"> INDEX(team.index.alpha, order, 0)</f>
        <v>3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پاناما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پاناما</v>
      </c>
      <c r="AJ53" s="76">
        <v>0</v>
      </c>
      <c r="AK53" s="76">
        <v>26</v>
      </c>
      <c r="AL53" s="116">
        <v>19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تونس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تونس</v>
      </c>
      <c r="AJ54" s="76">
        <v>0</v>
      </c>
      <c r="AK54" s="76">
        <v>27</v>
      </c>
      <c r="AL54" s="116">
        <v>31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انگلستان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انگلستان</v>
      </c>
      <c r="AJ55" s="76">
        <v>0</v>
      </c>
      <c r="AK55" s="76">
        <v>28</v>
      </c>
      <c r="AL55" s="116">
        <v>10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بلژیک</v>
      </c>
      <c r="AE57" s="76" t="str">
        <v>پاناما</v>
      </c>
      <c r="AF57" s="76" t="str">
        <v>تونس</v>
      </c>
      <c r="AG57" s="76" t="str">
        <v>انگلستان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بلژیک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پاناما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تونس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انگلستان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بلژیک</v>
      </c>
      <c r="AE63" s="76" t="str">
        <v>پاناما</v>
      </c>
      <c r="AF63" s="76" t="str">
        <v>تونس</v>
      </c>
      <c r="AG63" s="76" t="str">
        <v>انگلستان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بلژیک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پاناما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تونس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انگلستان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17 I15 I13 I11 I9 I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R79"/>
  <sheetViews>
    <sheetView showGridLines="0" showRowColHeaders="0" zoomScaleNormal="100" workbookViewId="0">
      <selection activeCell="G7" sqref="G7"/>
    </sheetView>
  </sheetViews>
  <sheetFormatPr defaultColWidth="0" defaultRowHeight="15" customHeight="1" zeroHeight="1" x14ac:dyDescent="0.25"/>
  <cols>
    <col min="1" max="1" width="1.09765625" customWidth="1"/>
    <col min="2" max="2" width="3.8984375" style="6" bestFit="1" customWidth="1"/>
    <col min="3" max="3" width="12.69921875" style="6" customWidth="1"/>
    <col min="4" max="4" width="18.8984375" customWidth="1"/>
    <col min="5" max="5" width="14.296875" customWidth="1"/>
    <col min="6" max="6" width="7.8984375" customWidth="1"/>
    <col min="7" max="7" width="5.09765625" customWidth="1"/>
    <col min="8" max="8" width="3.3984375" customWidth="1"/>
    <col min="9" max="9" width="5.09765625" customWidth="1"/>
    <col min="10" max="10" width="7.8984375" customWidth="1"/>
    <col min="11" max="11" width="14.296875" customWidth="1"/>
    <col min="12" max="13" width="1.09765625" customWidth="1"/>
    <col min="14" max="14" width="7.69921875" customWidth="1"/>
    <col min="15" max="15" width="12.69921875" customWidth="1"/>
    <col min="16" max="16" width="0.8984375" customWidth="1"/>
    <col min="17" max="22" width="3.69921875" customWidth="1"/>
    <col min="23" max="24" width="4.59765625" customWidth="1"/>
    <col min="25" max="25" width="1.09765625" customWidth="1"/>
    <col min="26" max="26" width="9.59765625" hidden="1" customWidth="1"/>
    <col min="27" max="27" width="9.296875" hidden="1" customWidth="1"/>
    <col min="28" max="28" width="16.296875" hidden="1" customWidth="1"/>
    <col min="29" max="33" width="13.69921875" hidden="1" customWidth="1"/>
    <col min="34" max="34" width="9.09765625" hidden="1" customWidth="1"/>
    <col min="35" max="35" width="15.69921875" hidden="1" customWidth="1"/>
    <col min="36" max="16384" width="9.09765625" hidden="1"/>
  </cols>
  <sheetData>
    <row r="1" spans="1:28" ht="60" customHeight="1" x14ac:dyDescent="0.25">
      <c r="A1" s="23"/>
      <c r="B1" s="15"/>
      <c r="C1" s="5"/>
      <c r="D1" s="5"/>
      <c r="E1" s="5"/>
      <c r="F1" s="5"/>
      <c r="G1" s="5"/>
      <c r="H1" s="5"/>
      <c r="I1" s="5"/>
      <c r="J1" s="5"/>
      <c r="K1" s="5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23"/>
    </row>
    <row r="2" spans="1:28" ht="127.2" customHeight="1" x14ac:dyDescent="0.25">
      <c r="A2" s="22"/>
      <c r="B2" s="125"/>
      <c r="C2" s="125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23"/>
    </row>
    <row r="3" spans="1:28" ht="27" customHeight="1" x14ac:dyDescent="0.25">
      <c r="A3" s="23"/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8" ht="10.199999999999999" customHeight="1" x14ac:dyDescent="0.25">
      <c r="A4" s="23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8" ht="27" customHeight="1" x14ac:dyDescent="0.35">
      <c r="A5" s="23"/>
      <c r="B5" s="143" t="str">
        <f>INDEX(CountryLists[],MATCH("No",CountryLists[English],0),Labels!language.idx)</f>
        <v>ش</v>
      </c>
      <c r="C5" s="143" t="str">
        <f>INDEX(CountryLists[],MATCH("Date",CountryLists[English],0),Labels!language.idx)</f>
        <v>تاریخ</v>
      </c>
      <c r="D5" s="143" t="str">
        <f>INDEX(CountryLists[],MATCH("Venue",CountryLists[English],0),Labels!language.idx)</f>
        <v>محل برگزاری</v>
      </c>
      <c r="E5" s="144" t="str">
        <f>INDEX(CountryLists[],MATCH("1st Team ",CountryLists[English],0),Labels!language.idx)</f>
        <v>تیم اول</v>
      </c>
      <c r="F5" s="145"/>
      <c r="G5" s="145"/>
      <c r="H5" s="143"/>
      <c r="I5" s="144" t="str">
        <f>INDEX(CountryLists[],MATCH("2nd Team",CountryLists[English],0),Labels!language.idx)</f>
        <v>تیم دوم</v>
      </c>
      <c r="J5" s="145"/>
      <c r="K5" s="146"/>
      <c r="L5" s="25"/>
      <c r="M5" s="26"/>
      <c r="N5" s="147" t="str">
        <f>INDEX(CountryLists[],MATCH("Group Standings",CountryLists[English],0),Labels!language.idx)</f>
        <v>جدول رده بندی</v>
      </c>
      <c r="O5" s="145"/>
      <c r="P5" s="145"/>
      <c r="Q5" s="145"/>
      <c r="R5" s="145"/>
      <c r="S5" s="145"/>
      <c r="T5" s="145"/>
      <c r="U5" s="145"/>
      <c r="V5" s="145"/>
      <c r="W5" s="145"/>
      <c r="X5" s="146"/>
      <c r="Y5" s="23"/>
    </row>
    <row r="6" spans="1:28" ht="6" customHeight="1" x14ac:dyDescent="0.25">
      <c r="A6" s="23"/>
      <c r="B6" s="22"/>
      <c r="C6" s="22"/>
      <c r="D6" s="23"/>
      <c r="E6" s="23"/>
      <c r="F6" s="23"/>
      <c r="G6" s="23"/>
      <c r="H6" s="23"/>
      <c r="I6" s="23"/>
      <c r="J6" s="23"/>
      <c r="K6" s="23"/>
      <c r="L6" s="24"/>
      <c r="M6" s="24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8" ht="24" customHeight="1" x14ac:dyDescent="0.25">
      <c r="A7" s="23"/>
      <c r="B7" s="130">
        <f xml:space="preserve"> 6*(Group.Index-1) + 1</f>
        <v>43</v>
      </c>
      <c r="C7" s="131" t="str">
        <f>TEXT( INDEX( GamesTable[Date], $B7 ),date.format)</f>
        <v>سه شنبه 3/29</v>
      </c>
      <c r="D7" s="132" t="str">
        <f xml:space="preserve"> INDEX( GamesTable[Venue], $B7 )</f>
        <v xml:space="preserve"> Moscow</v>
      </c>
      <c r="E7" s="62" t="str">
        <f xml:space="preserve"> INDEX( GamesTable[Team1], $B7 )</f>
        <v>لهستان</v>
      </c>
      <c r="F7" s="63"/>
      <c r="G7" s="20"/>
      <c r="H7" s="135" t="s">
        <v>74</v>
      </c>
      <c r="I7" s="20"/>
      <c r="J7" s="63"/>
      <c r="K7" s="102" t="str">
        <f xml:space="preserve"> INDEX( GamesTable[Team2], $B7 )</f>
        <v>سنگال</v>
      </c>
      <c r="L7" s="24"/>
      <c r="M7" s="24"/>
      <c r="N7" s="124"/>
      <c r="O7" s="129"/>
      <c r="Q7" s="133" t="s">
        <v>53</v>
      </c>
      <c r="R7" s="133" t="s">
        <v>54</v>
      </c>
      <c r="S7" s="133" t="s">
        <v>45</v>
      </c>
      <c r="T7" s="133" t="s">
        <v>55</v>
      </c>
      <c r="U7" s="133" t="s">
        <v>47</v>
      </c>
      <c r="V7" s="133" t="s">
        <v>40</v>
      </c>
      <c r="W7" s="133" t="s">
        <v>56</v>
      </c>
      <c r="X7" s="134" t="s">
        <v>57</v>
      </c>
      <c r="Y7" s="23"/>
    </row>
    <row r="8" spans="1:28" ht="12" customHeight="1" x14ac:dyDescent="0.35">
      <c r="A8" s="23"/>
      <c r="B8" s="9"/>
      <c r="C8" s="9"/>
      <c r="D8" s="10"/>
      <c r="E8" s="3"/>
      <c r="G8" s="21"/>
      <c r="H8" s="14"/>
      <c r="I8" s="21"/>
      <c r="K8" s="103"/>
      <c r="L8" s="24"/>
      <c r="M8" s="24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3"/>
    </row>
    <row r="9" spans="1:28" ht="24" customHeight="1" x14ac:dyDescent="0.25">
      <c r="A9" s="23"/>
      <c r="B9" s="130">
        <f xml:space="preserve"> 6*(Group.Index-1) + 2</f>
        <v>44</v>
      </c>
      <c r="C9" s="131" t="str">
        <f>TEXT( INDEX( GamesTable[Date], $B9 ),date.format)</f>
        <v>سه شنبه 3/29</v>
      </c>
      <c r="D9" s="132" t="str">
        <f xml:space="preserve"> INDEX( GamesTable[Venue], $B9 )</f>
        <v xml:space="preserve"> Saransk</v>
      </c>
      <c r="E9" s="62" t="str">
        <f xml:space="preserve"> INDEX( GamesTable[Team1], $B9 )</f>
        <v>کلمبیا</v>
      </c>
      <c r="F9" s="67"/>
      <c r="G9" s="20"/>
      <c r="H9" s="135" t="s">
        <v>74</v>
      </c>
      <c r="I9" s="20"/>
      <c r="J9" s="63"/>
      <c r="K9" s="102" t="str">
        <f xml:space="preserve"> INDEX( GamesTable[Team2], $B9 )</f>
        <v>ژاپن</v>
      </c>
      <c r="L9" s="24"/>
      <c r="M9" s="24"/>
      <c r="N9" s="118">
        <f>INDEX(index.order,1)</f>
        <v>29</v>
      </c>
      <c r="O9" s="64" t="str">
        <f>INDEX(team.order,1)</f>
        <v>لهستان</v>
      </c>
      <c r="Q9" s="65">
        <f t="array" ref="Q9:X9" xml:space="preserve"> INDEX(standings, INDEX(order,1), 0)</f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6">
        <v>3.0000000000000001E-6</v>
      </c>
      <c r="Y9" s="23"/>
      <c r="Z9" s="18"/>
      <c r="AB9" s="1"/>
    </row>
    <row r="10" spans="1:28" ht="12" customHeight="1" x14ac:dyDescent="0.35">
      <c r="A10" s="23"/>
      <c r="B10" s="9"/>
      <c r="C10" s="9"/>
      <c r="D10" s="10"/>
      <c r="E10" s="3"/>
      <c r="G10" s="21"/>
      <c r="H10" s="14"/>
      <c r="I10" s="21"/>
      <c r="K10" s="103"/>
      <c r="L10" s="24"/>
      <c r="M10" s="24"/>
      <c r="O10" s="32"/>
      <c r="Q10" s="11"/>
      <c r="R10" s="11"/>
      <c r="S10" s="11"/>
      <c r="T10" s="11"/>
      <c r="U10" s="11"/>
      <c r="V10" s="11"/>
      <c r="W10" s="11"/>
      <c r="X10" s="16"/>
      <c r="Y10" s="23"/>
      <c r="Z10" s="18"/>
      <c r="AB10" s="1"/>
    </row>
    <row r="11" spans="1:28" ht="24.75" customHeight="1" x14ac:dyDescent="0.25">
      <c r="A11" s="23"/>
      <c r="B11" s="130">
        <f xml:space="preserve"> 6*(Group.Index-1) + 3</f>
        <v>45</v>
      </c>
      <c r="C11" s="131" t="str">
        <f>TEXT( INDEX( GamesTable[Date], $B11 ),date.format)</f>
        <v>يكشنبه 4/3</v>
      </c>
      <c r="D11" s="132" t="str">
        <f xml:space="preserve"> INDEX( GamesTable[Venue], $B11 )</f>
        <v xml:space="preserve"> Kazan</v>
      </c>
      <c r="E11" s="62" t="str">
        <f xml:space="preserve"> INDEX( GamesTable[Team1], $B11 )</f>
        <v>لهستان</v>
      </c>
      <c r="F11" s="67"/>
      <c r="G11" s="20"/>
      <c r="H11" s="135" t="s">
        <v>74</v>
      </c>
      <c r="I11" s="20"/>
      <c r="J11" s="63"/>
      <c r="K11" s="102" t="str">
        <f xml:space="preserve"> INDEX( GamesTable[Team2], $B11 )</f>
        <v>کلمبیا</v>
      </c>
      <c r="L11" s="24"/>
      <c r="M11" s="24"/>
      <c r="N11" s="118">
        <f>INDEX(index.order,2)</f>
        <v>30</v>
      </c>
      <c r="O11" s="64" t="str">
        <f>INDEX(team.order,2)</f>
        <v>سنگال</v>
      </c>
      <c r="Q11" s="65">
        <f t="array" ref="Q11:X11" xml:space="preserve"> INDEX(standings, INDEX(order,2), 0)</f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6">
        <v>1.9999999999999999E-6</v>
      </c>
      <c r="Y11" s="23"/>
      <c r="Z11" s="18"/>
      <c r="AB11" s="1"/>
    </row>
    <row r="12" spans="1:28" ht="12" customHeight="1" x14ac:dyDescent="0.3">
      <c r="A12" s="23"/>
      <c r="B12" s="9"/>
      <c r="C12" s="9"/>
      <c r="D12" s="10"/>
      <c r="G12" s="21"/>
      <c r="H12" s="14"/>
      <c r="I12" s="21"/>
      <c r="K12" s="49"/>
      <c r="L12" s="24"/>
      <c r="M12" s="24"/>
      <c r="N12" s="12"/>
      <c r="O12" s="33"/>
      <c r="P12" s="12"/>
      <c r="Q12" s="13"/>
      <c r="R12" s="13"/>
      <c r="S12" s="13"/>
      <c r="T12" s="13"/>
      <c r="U12" s="13"/>
      <c r="V12" s="13"/>
      <c r="W12" s="13"/>
      <c r="X12" s="17"/>
      <c r="Y12" s="23"/>
      <c r="Z12" s="18"/>
      <c r="AB12" s="1"/>
    </row>
    <row r="13" spans="1:28" ht="24" customHeight="1" x14ac:dyDescent="0.25">
      <c r="A13" s="23"/>
      <c r="B13" s="130">
        <f xml:space="preserve"> 6*(Group.Index-1) + 4</f>
        <v>46</v>
      </c>
      <c r="C13" s="131" t="str">
        <f>TEXT( INDEX( GamesTable[Date], $B13 ),date.format)</f>
        <v>يكشنبه 4/3</v>
      </c>
      <c r="D13" s="132" t="str">
        <f xml:space="preserve"> INDEX( GamesTable[Venue], $B13 )</f>
        <v xml:space="preserve"> Ekaterinburg</v>
      </c>
      <c r="E13" s="62" t="str">
        <f xml:space="preserve"> INDEX( GamesTable[Team1], $B13 )</f>
        <v>ژاپن</v>
      </c>
      <c r="F13" s="67"/>
      <c r="G13" s="20"/>
      <c r="H13" s="135" t="s">
        <v>74</v>
      </c>
      <c r="I13" s="20"/>
      <c r="J13" s="63"/>
      <c r="K13" s="102" t="str">
        <f xml:space="preserve"> INDEX( GamesTable[Team2], $B13 )</f>
        <v>سنگال</v>
      </c>
      <c r="L13" s="24"/>
      <c r="M13" s="24"/>
      <c r="N13" s="118">
        <f>INDEX(index.order,3)</f>
        <v>31</v>
      </c>
      <c r="O13" s="64" t="str">
        <f>INDEX(team.order,3)</f>
        <v>کلمبیا</v>
      </c>
      <c r="Q13" s="65">
        <f t="array" ref="Q13:X13" xml:space="preserve"> INDEX(standings, INDEX(order,3), 0)</f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6">
        <v>9.9999999999999995E-7</v>
      </c>
      <c r="Y13" s="23"/>
      <c r="Z13" s="18"/>
      <c r="AB13" s="1"/>
    </row>
    <row r="14" spans="1:28" ht="12" customHeight="1" x14ac:dyDescent="0.3">
      <c r="A14" s="23"/>
      <c r="B14" s="9"/>
      <c r="C14" s="9"/>
      <c r="D14" s="10"/>
      <c r="E14" s="4"/>
      <c r="G14" s="21"/>
      <c r="H14" s="14"/>
      <c r="I14" s="21"/>
      <c r="K14" s="103"/>
      <c r="L14" s="24"/>
      <c r="M14" s="24"/>
      <c r="O14" s="34"/>
      <c r="Q14" s="11"/>
      <c r="R14" s="11"/>
      <c r="S14" s="11"/>
      <c r="T14" s="11"/>
      <c r="U14" s="11"/>
      <c r="V14" s="11"/>
      <c r="W14" s="11"/>
      <c r="X14" s="16"/>
      <c r="Y14" s="23"/>
      <c r="Z14" s="18"/>
      <c r="AB14" s="1"/>
    </row>
    <row r="15" spans="1:28" ht="24" customHeight="1" x14ac:dyDescent="0.25">
      <c r="A15" s="23"/>
      <c r="B15" s="130">
        <f xml:space="preserve"> 6*(Group.Index-1) + 5</f>
        <v>47</v>
      </c>
      <c r="C15" s="131" t="str">
        <f>TEXT( INDEX( GamesTable[Date], $B15 ),date.format)</f>
        <v>پنجشنبه 4/7</v>
      </c>
      <c r="D15" s="132" t="str">
        <f xml:space="preserve"> INDEX( GamesTable[Venue], $B15 )</f>
        <v xml:space="preserve"> Volgograd</v>
      </c>
      <c r="E15" s="62" t="str">
        <f xml:space="preserve"> INDEX( GamesTable[Team1], $B15 )</f>
        <v>ژاپن</v>
      </c>
      <c r="F15" s="63"/>
      <c r="G15" s="20"/>
      <c r="H15" s="135" t="s">
        <v>74</v>
      </c>
      <c r="I15" s="20"/>
      <c r="J15" s="63"/>
      <c r="K15" s="102" t="str">
        <f xml:space="preserve"> INDEX( GamesTable[Team2], $B15 )</f>
        <v>لهستان</v>
      </c>
      <c r="L15" s="24"/>
      <c r="M15" s="24"/>
      <c r="N15" s="118">
        <f>INDEX(index.order,4)</f>
        <v>32</v>
      </c>
      <c r="O15" s="64" t="str">
        <f>INDEX(team.order,4)</f>
        <v>ژاپن</v>
      </c>
      <c r="Q15" s="65">
        <f t="array" ref="Q15:X15" xml:space="preserve"> INDEX(standings, INDEX(order,4), 0)</f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6">
        <v>0</v>
      </c>
      <c r="Y15" s="23"/>
      <c r="Z15" s="18"/>
      <c r="AB15" s="1"/>
    </row>
    <row r="16" spans="1:28" ht="12" customHeight="1" x14ac:dyDescent="0.3">
      <c r="A16" s="23"/>
      <c r="B16" s="9"/>
      <c r="C16" s="9"/>
      <c r="D16" s="10"/>
      <c r="E16" s="4"/>
      <c r="G16" s="21"/>
      <c r="H16" s="14"/>
      <c r="I16" s="21"/>
      <c r="K16" s="103"/>
      <c r="L16" s="24"/>
      <c r="M16" s="24"/>
      <c r="Y16" s="23"/>
    </row>
    <row r="17" spans="1:44" ht="24" customHeight="1" x14ac:dyDescent="0.25">
      <c r="A17" s="23"/>
      <c r="B17" s="130">
        <f xml:space="preserve"> 6*(Group.Index-1) + 6</f>
        <v>48</v>
      </c>
      <c r="C17" s="131" t="str">
        <f>TEXT( INDEX( GamesTable[Date], $B17 ),date.format)</f>
        <v>پنجشنبه 4/7</v>
      </c>
      <c r="D17" s="132" t="str">
        <f xml:space="preserve"> INDEX( GamesTable[Venue], $B17 )</f>
        <v xml:space="preserve"> Samara</v>
      </c>
      <c r="E17" s="62" t="str">
        <f xml:space="preserve"> INDEX( GamesTable[Team1], $B17 )</f>
        <v>سنگال</v>
      </c>
      <c r="F17" s="63"/>
      <c r="G17" s="20"/>
      <c r="H17" s="135" t="s">
        <v>74</v>
      </c>
      <c r="I17" s="20"/>
      <c r="J17" s="63"/>
      <c r="K17" s="102" t="str">
        <f xml:space="preserve"> INDEX( GamesTable[Team2], $B17 )</f>
        <v>کلمبیا</v>
      </c>
      <c r="L17" s="24"/>
      <c r="M17" s="24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23"/>
    </row>
    <row r="18" spans="1:44" ht="13.8" x14ac:dyDescent="0.25">
      <c r="A18" s="23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44" x14ac:dyDescent="0.35">
      <c r="A19" s="23"/>
      <c r="B19" s="58"/>
      <c r="C19" s="58"/>
      <c r="D19" s="59"/>
      <c r="E19" s="60" t="s">
        <v>472</v>
      </c>
      <c r="F19" s="61"/>
      <c r="G19" s="59"/>
      <c r="H19" s="59"/>
      <c r="I19" s="59"/>
      <c r="J19" s="60" t="s">
        <v>473</v>
      </c>
      <c r="K19" s="61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23"/>
    </row>
    <row r="20" spans="1:44" ht="25.5" customHeight="1" x14ac:dyDescent="0.25">
      <c r="A20" s="23"/>
      <c r="B20" s="125"/>
      <c r="C20" s="125"/>
      <c r="D20" s="124"/>
      <c r="E20" s="55" t="str">
        <f xml:space="preserve"> IF( complete?, INDEX(country.list, Winner ), "" )</f>
        <v/>
      </c>
      <c r="F20" s="119" t="str">
        <f xml:space="preserve"> IF(complete?, INDEX(index.order,1 ), "" )</f>
        <v/>
      </c>
      <c r="G20" s="126"/>
      <c r="H20" s="126"/>
      <c r="I20" s="126"/>
      <c r="J20" s="56" t="str">
        <f xml:space="preserve"> IF( complete?, INDEX(index.order,2 ), "" )</f>
        <v/>
      </c>
      <c r="K20" s="57" t="str">
        <f xml:space="preserve"> IF( complete?, INDEX(country.list,RunnerUp ), "" )</f>
        <v/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23"/>
    </row>
    <row r="21" spans="1:44" ht="9" customHeight="1" x14ac:dyDescent="0.25">
      <c r="A21" s="23"/>
      <c r="B21" s="125"/>
      <c r="C21" s="125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23"/>
    </row>
    <row r="22" spans="1:44" ht="4.5" customHeight="1" x14ac:dyDescent="0.25">
      <c r="A22" s="23"/>
      <c r="B22" s="58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23"/>
    </row>
    <row r="23" spans="1:44" ht="13.8" x14ac:dyDescent="0.25">
      <c r="A23" s="23"/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44" ht="13.8" x14ac:dyDescent="0.25">
      <c r="A24" s="23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44" ht="13.8" hidden="1" x14ac:dyDescent="0.25"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3"/>
    </row>
    <row r="26" spans="1:44" ht="13.8" hidden="1" x14ac:dyDescent="0.25">
      <c r="AA26" s="7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75"/>
    </row>
    <row r="27" spans="1:44" ht="13.8" hidden="1" x14ac:dyDescent="0.25">
      <c r="AA27" s="74"/>
      <c r="AB27" s="24"/>
      <c r="AC27" s="24" t="s">
        <v>339</v>
      </c>
      <c r="AD27" s="24"/>
      <c r="AE27" s="24"/>
      <c r="AF27" s="24"/>
      <c r="AG27" s="24"/>
      <c r="AH27" s="24"/>
      <c r="AI27" s="24"/>
      <c r="AJ27" s="24"/>
      <c r="AK27" s="23"/>
      <c r="AL27" s="23"/>
      <c r="AM27" s="23"/>
      <c r="AN27" s="23"/>
      <c r="AO27" s="23"/>
      <c r="AP27" s="23"/>
      <c r="AQ27" s="23"/>
      <c r="AR27" s="75"/>
    </row>
    <row r="28" spans="1:44" ht="13.8" hidden="1" x14ac:dyDescent="0.25">
      <c r="AA28" s="74"/>
      <c r="AB28" s="24"/>
      <c r="AC28" s="24"/>
      <c r="AD28" s="24"/>
      <c r="AE28" s="24"/>
      <c r="AF28" s="24"/>
      <c r="AG28" s="24"/>
      <c r="AH28" s="24"/>
      <c r="AI28" s="24"/>
      <c r="AJ28" s="24"/>
      <c r="AK28" s="23"/>
      <c r="AL28" s="24"/>
      <c r="AM28" s="23"/>
      <c r="AN28" s="23"/>
      <c r="AO28" s="23"/>
      <c r="AP28" s="23"/>
      <c r="AQ28" s="23"/>
      <c r="AR28" s="75"/>
    </row>
    <row r="29" spans="1:44" ht="13.8" hidden="1" x14ac:dyDescent="0.25">
      <c r="AA29" s="74"/>
      <c r="AB29" s="24"/>
      <c r="AC29" s="23" t="s">
        <v>360</v>
      </c>
      <c r="AD29" s="23" t="s">
        <v>361</v>
      </c>
      <c r="AE29" s="23" t="s">
        <v>362</v>
      </c>
      <c r="AF29" s="23"/>
      <c r="AG29" s="24"/>
      <c r="AH29" s="24"/>
      <c r="AI29" s="24" t="s">
        <v>0</v>
      </c>
      <c r="AJ29" s="24" t="s">
        <v>430</v>
      </c>
      <c r="AK29" s="24"/>
      <c r="AL29" s="23"/>
      <c r="AM29" s="23"/>
      <c r="AN29" s="23"/>
      <c r="AO29" s="23"/>
      <c r="AP29" s="23"/>
      <c r="AQ29" s="23"/>
      <c r="AR29" s="75"/>
    </row>
    <row r="30" spans="1:44" ht="13.8" hidden="1" x14ac:dyDescent="0.25">
      <c r="AA30" s="74"/>
      <c r="AB30" s="24"/>
      <c r="AC30" s="79" t="str">
        <f t="array" ref="AC30:AC35" xml:space="preserve"> INDEX( GroupMatchTeam1, 0, Group.Index )</f>
        <v>لهستان</v>
      </c>
      <c r="AD30" s="80" t="str">
        <f t="array" ref="AD30:AD35" xml:space="preserve"> INDEX( GroupMatchTeam2, 0, Group.Index )</f>
        <v>سنگال</v>
      </c>
      <c r="AE30" s="81" t="e">
        <f t="array" ref="AE30:AE35" xml:space="preserve"> INDEX( IF(ISBLANK(Matches),NA(),Matches), {1;3;5;7;9;11}, 3 )</f>
        <v>#N/A</v>
      </c>
      <c r="AF30" s="82" t="str">
        <f t="array" ref="AF30:AF41" xml:space="preserve"> MATCH(team.matchResult,team.list,0) &amp; MATCH(team.matchOpponent,team.list,0)</f>
        <v>12</v>
      </c>
      <c r="AG30" s="24"/>
      <c r="AH30" s="24"/>
      <c r="AI30" s="76" t="str">
        <f t="array" ref="AI30:AI33">INDEX(Labels!Groups,,Group.Index)</f>
        <v>لهستان</v>
      </c>
      <c r="AJ30" s="76">
        <f t="array" ref="AJ30:AJ33" xml:space="preserve"> 4*(Group.Index-1) + {1;2;3;4}</f>
        <v>29</v>
      </c>
      <c r="AK30" s="116">
        <f t="array" ref="AK30:AK33">INDEX(Groups.TeamIndices,,Group.Index)</f>
        <v>21</v>
      </c>
      <c r="AL30" s="23"/>
      <c r="AM30" s="78">
        <v>8</v>
      </c>
      <c r="AN30" s="23"/>
      <c r="AO30" s="23"/>
      <c r="AP30" s="23"/>
      <c r="AQ30" s="23"/>
      <c r="AR30" s="75"/>
    </row>
    <row r="31" spans="1:44" ht="13.8" hidden="1" x14ac:dyDescent="0.25">
      <c r="AA31" s="74"/>
      <c r="AB31" s="24"/>
      <c r="AC31" s="83" t="str">
        <v>کلمبیا</v>
      </c>
      <c r="AD31" s="84" t="str">
        <v>ژاپن</v>
      </c>
      <c r="AE31" s="85" t="e">
        <v>#N/A</v>
      </c>
      <c r="AF31" s="86" t="str">
        <v>34</v>
      </c>
      <c r="AG31" s="24"/>
      <c r="AH31" s="24"/>
      <c r="AI31" s="76" t="str">
        <v>سنگال</v>
      </c>
      <c r="AJ31" s="76">
        <v>30</v>
      </c>
      <c r="AK31" s="116">
        <v>25</v>
      </c>
      <c r="AL31" s="23"/>
      <c r="AM31" s="115" t="s">
        <v>434</v>
      </c>
      <c r="AN31" s="23"/>
      <c r="AO31" s="23"/>
      <c r="AP31" s="23"/>
      <c r="AQ31" s="23"/>
      <c r="AR31" s="75"/>
    </row>
    <row r="32" spans="1:44" ht="13.8" hidden="1" x14ac:dyDescent="0.25">
      <c r="AA32" s="74"/>
      <c r="AB32" s="24"/>
      <c r="AC32" s="83" t="str">
        <v>لهستان</v>
      </c>
      <c r="AD32" s="84" t="str">
        <v>کلمبیا</v>
      </c>
      <c r="AE32" s="85" t="e">
        <v>#N/A</v>
      </c>
      <c r="AF32" s="86" t="str">
        <v>13</v>
      </c>
      <c r="AG32" s="24"/>
      <c r="AH32" s="24"/>
      <c r="AI32" s="76" t="str">
        <v>کلمبیا</v>
      </c>
      <c r="AJ32" s="76">
        <v>31</v>
      </c>
      <c r="AK32" s="116">
        <v>5</v>
      </c>
      <c r="AL32" s="23"/>
      <c r="AM32" s="23"/>
      <c r="AN32" s="23"/>
      <c r="AO32" s="23"/>
      <c r="AP32" s="23"/>
      <c r="AQ32" s="23"/>
      <c r="AR32" s="75"/>
    </row>
    <row r="33" spans="27:44" ht="13.8" hidden="1" x14ac:dyDescent="0.25">
      <c r="AA33" s="74"/>
      <c r="AB33" s="24"/>
      <c r="AC33" s="83" t="str">
        <v>ژاپن</v>
      </c>
      <c r="AD33" s="84" t="str">
        <v>سنگال</v>
      </c>
      <c r="AE33" s="85" t="e">
        <v>#N/A</v>
      </c>
      <c r="AF33" s="86" t="str">
        <v>42</v>
      </c>
      <c r="AG33" s="24"/>
      <c r="AH33" s="24"/>
      <c r="AI33" s="76" t="str">
        <v>ژاپن</v>
      </c>
      <c r="AJ33" s="76">
        <v>32</v>
      </c>
      <c r="AK33" s="116">
        <v>15</v>
      </c>
      <c r="AL33" s="23"/>
      <c r="AM33" s="23"/>
      <c r="AN33" s="23"/>
      <c r="AO33" s="23"/>
      <c r="AP33" s="23"/>
      <c r="AQ33" s="23"/>
      <c r="AR33" s="75"/>
    </row>
    <row r="34" spans="27:44" ht="13.8" hidden="1" x14ac:dyDescent="0.25">
      <c r="AA34" s="74"/>
      <c r="AB34" s="24"/>
      <c r="AC34" s="83" t="str">
        <v>ژاپن</v>
      </c>
      <c r="AD34" s="84" t="str">
        <v>لهستان</v>
      </c>
      <c r="AE34" s="85" t="e">
        <v>#N/A</v>
      </c>
      <c r="AF34" s="86" t="str">
        <v>41</v>
      </c>
      <c r="AG34" s="24"/>
      <c r="AH34" s="24"/>
      <c r="AI34" s="115" t="s">
        <v>432</v>
      </c>
      <c r="AJ34" s="115" t="s">
        <v>431</v>
      </c>
      <c r="AK34" s="115" t="s">
        <v>433</v>
      </c>
      <c r="AL34" s="23"/>
      <c r="AM34" s="23"/>
      <c r="AN34" s="23"/>
      <c r="AO34" s="23"/>
      <c r="AP34" s="23"/>
      <c r="AQ34" s="23"/>
      <c r="AR34" s="75"/>
    </row>
    <row r="35" spans="27:44" ht="13.8" hidden="1" x14ac:dyDescent="0.25">
      <c r="AA35" s="74"/>
      <c r="AB35" s="24"/>
      <c r="AC35" s="87" t="str">
        <v>سنگال</v>
      </c>
      <c r="AD35" s="88" t="str">
        <v>کلمبیا</v>
      </c>
      <c r="AE35" s="89" t="e">
        <v>#N/A</v>
      </c>
      <c r="AF35" s="90" t="str">
        <v>23</v>
      </c>
      <c r="AG35" s="24"/>
      <c r="AH35" s="24"/>
      <c r="AI35" s="24" t="s">
        <v>341</v>
      </c>
      <c r="AJ35" s="24"/>
      <c r="AK35" s="24"/>
      <c r="AL35" s="24"/>
      <c r="AM35" s="24"/>
      <c r="AN35" s="24"/>
      <c r="AO35" s="24"/>
      <c r="AP35" s="24"/>
      <c r="AQ35" s="24"/>
      <c r="AR35" s="75"/>
    </row>
    <row r="36" spans="27:44" ht="13.8" hidden="1" x14ac:dyDescent="0.25">
      <c r="AA36" s="74"/>
      <c r="AB36" s="24"/>
      <c r="AC36" s="91" t="str">
        <f t="array" ref="AC36:AC41" xml:space="preserve"> INDEX( GroupMatchTeam2, 0, Group.Index )</f>
        <v>سنگال</v>
      </c>
      <c r="AD36" s="92" t="str">
        <f t="array" ref="AD36:AD41" xml:space="preserve"> INDEX( GroupMatchTeam1, 0, Group.Index )</f>
        <v>لهستان</v>
      </c>
      <c r="AE36" s="93" t="e">
        <f t="array" ref="AE36:AE41" xml:space="preserve"> INDEX( IF(ISBLANK(Matches),NA(),Matches), {1;3;5;7;9;11}, 5 )</f>
        <v>#N/A</v>
      </c>
      <c r="AF36" s="94" t="str">
        <v>21</v>
      </c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75"/>
    </row>
    <row r="37" spans="27:44" ht="13.8" hidden="1" x14ac:dyDescent="0.25">
      <c r="AA37" s="74"/>
      <c r="AB37" s="24"/>
      <c r="AC37" s="83" t="str">
        <v>ژاپن</v>
      </c>
      <c r="AD37" s="84" t="str">
        <v>کلمبیا</v>
      </c>
      <c r="AE37" s="85" t="e">
        <v>#N/A</v>
      </c>
      <c r="AF37" s="86" t="str">
        <v>43</v>
      </c>
      <c r="AG37" s="24"/>
      <c r="AH37" s="24"/>
      <c r="AI37" s="76" t="s">
        <v>119</v>
      </c>
      <c r="AJ37" s="76" t="s">
        <v>108</v>
      </c>
      <c r="AK37" s="76" t="s">
        <v>112</v>
      </c>
      <c r="AL37" s="76" t="s">
        <v>118</v>
      </c>
      <c r="AM37" s="76" t="s">
        <v>113</v>
      </c>
      <c r="AN37" s="76" t="s">
        <v>109</v>
      </c>
      <c r="AO37" s="76" t="s">
        <v>110</v>
      </c>
      <c r="AP37" s="76" t="s">
        <v>111</v>
      </c>
      <c r="AQ37" s="76" t="s">
        <v>117</v>
      </c>
      <c r="AR37" s="75"/>
    </row>
    <row r="38" spans="27:44" ht="13.8" hidden="1" x14ac:dyDescent="0.25">
      <c r="AA38" s="74"/>
      <c r="AB38" s="24"/>
      <c r="AC38" s="83" t="str">
        <v>کلمبیا</v>
      </c>
      <c r="AD38" s="84" t="str">
        <v>لهستان</v>
      </c>
      <c r="AE38" s="85" t="e">
        <v>#N/A</v>
      </c>
      <c r="AF38" s="86" t="str">
        <v>31</v>
      </c>
      <c r="AG38" s="24"/>
      <c r="AH38" s="24"/>
      <c r="AI38" s="76" t="str">
        <f t="array" ref="AI38:AI41">team.list</f>
        <v>لهستان</v>
      </c>
      <c r="AJ38" s="76">
        <f t="array" ref="AJ38:AJ41" xml:space="preserve"> MMULT(played.array, eachTeam )</f>
        <v>0</v>
      </c>
      <c r="AK38" s="76">
        <f t="array" ref="AK38:AK41" xml:space="preserve"> MMULT( SIGN(match.result&gt;0), eachTeam )</f>
        <v>0</v>
      </c>
      <c r="AL38" s="76">
        <f t="array" ref="AL38:AL41" xml:space="preserve"> MMULT( played.array * SIGN(match.result=0), eachTeam)</f>
        <v>0</v>
      </c>
      <c r="AM38" s="76">
        <f t="array" ref="AM38:AM41" xml:space="preserve"> MMULT( SIGN(match.result&lt;0), eachTeam )</f>
        <v>0</v>
      </c>
      <c r="AN38" s="76">
        <f t="array" ref="AN38:AN41" xml:space="preserve"> MMULT(score.array, eachTeam)</f>
        <v>0</v>
      </c>
      <c r="AO38" s="76">
        <f t="array" ref="AO38:AO41" xml:space="preserve"> MMULT(TRANSPOSE(score.array), eachTeam)</f>
        <v>0</v>
      </c>
      <c r="AP38" s="76">
        <f t="array" ref="AP38:AP41" xml:space="preserve"> MMULT( score.array -TRANSPOSE(score.array), eachTeam)</f>
        <v>0</v>
      </c>
      <c r="AQ38" s="76">
        <f t="array" ref="AQ38:AQ41" xml:space="preserve"> 3*wins + draws + goal.diff/100 + goals.for/10000 + (MAX(ROW(standings)) - ROW(standings))/1000000</f>
        <v>3.0000000000000001E-6</v>
      </c>
      <c r="AR38" s="75"/>
    </row>
    <row r="39" spans="27:44" ht="13.8" hidden="1" x14ac:dyDescent="0.25">
      <c r="AA39" s="74"/>
      <c r="AB39" s="24"/>
      <c r="AC39" s="83" t="str">
        <v>سنگال</v>
      </c>
      <c r="AD39" s="84" t="str">
        <v>ژاپن</v>
      </c>
      <c r="AE39" s="85" t="e">
        <v>#N/A</v>
      </c>
      <c r="AF39" s="86" t="str">
        <v>24</v>
      </c>
      <c r="AG39" s="24"/>
      <c r="AH39" s="24"/>
      <c r="AI39" s="76" t="str">
        <v>سنگال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1.9999999999999999E-6</v>
      </c>
      <c r="AR39" s="75"/>
    </row>
    <row r="40" spans="27:44" ht="13.8" hidden="1" x14ac:dyDescent="0.25">
      <c r="AA40" s="74"/>
      <c r="AB40" s="24"/>
      <c r="AC40" s="83" t="str">
        <v>لهستان</v>
      </c>
      <c r="AD40" s="84" t="str">
        <v>ژاپن</v>
      </c>
      <c r="AE40" s="85" t="e">
        <v>#N/A</v>
      </c>
      <c r="AF40" s="86" t="str">
        <v>14</v>
      </c>
      <c r="AG40" s="24"/>
      <c r="AH40" s="24"/>
      <c r="AI40" s="76" t="str">
        <v>کلمبیا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9.9999999999999995E-7</v>
      </c>
      <c r="AR40" s="75"/>
    </row>
    <row r="41" spans="27:44" ht="13.8" hidden="1" x14ac:dyDescent="0.25">
      <c r="AA41" s="74"/>
      <c r="AB41" s="24"/>
      <c r="AC41" s="87" t="str">
        <v>کلمبیا</v>
      </c>
      <c r="AD41" s="88" t="str">
        <v>سنگال</v>
      </c>
      <c r="AE41" s="89" t="e">
        <v>#N/A</v>
      </c>
      <c r="AF41" s="90" t="str">
        <v>32</v>
      </c>
      <c r="AG41" s="23"/>
      <c r="AH41" s="23"/>
      <c r="AI41" s="76" t="str">
        <v>ژاپن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5"/>
    </row>
    <row r="42" spans="27:44" ht="13.8" hidden="1" x14ac:dyDescent="0.25">
      <c r="AA42" s="74"/>
      <c r="AB42" s="24"/>
      <c r="AC42" s="106" t="s">
        <v>363</v>
      </c>
      <c r="AD42" s="106" t="s">
        <v>364</v>
      </c>
      <c r="AE42" s="106" t="s">
        <v>365</v>
      </c>
      <c r="AF42" s="106" t="s">
        <v>366</v>
      </c>
      <c r="AG42" s="23"/>
      <c r="AH42" s="23"/>
      <c r="AI42" s="23"/>
      <c r="AJ42" s="106" t="s">
        <v>440</v>
      </c>
      <c r="AK42" s="106" t="s">
        <v>441</v>
      </c>
      <c r="AL42" s="23"/>
      <c r="AM42" s="23"/>
      <c r="AN42" s="23"/>
      <c r="AO42" s="23"/>
      <c r="AP42" s="23"/>
      <c r="AQ42" s="23"/>
      <c r="AR42" s="75"/>
    </row>
    <row r="43" spans="27:44" ht="13.8" hidden="1" x14ac:dyDescent="0.25">
      <c r="AA43" s="74"/>
      <c r="AB43" s="24"/>
      <c r="AC43" s="24" t="s">
        <v>340</v>
      </c>
      <c r="AD43" s="24"/>
      <c r="AE43" s="24"/>
      <c r="AF43" s="24"/>
      <c r="AG43" s="24"/>
      <c r="AH43" s="24"/>
      <c r="AI43" s="24" t="s">
        <v>443</v>
      </c>
      <c r="AJ43" s="24"/>
      <c r="AK43" s="24"/>
      <c r="AL43" s="24"/>
      <c r="AM43" s="24"/>
      <c r="AN43" s="24"/>
      <c r="AO43" s="24"/>
      <c r="AP43" s="24"/>
      <c r="AQ43" s="24"/>
      <c r="AR43" s="75"/>
    </row>
    <row r="44" spans="27:44" ht="13.8" hidden="1" x14ac:dyDescent="0.25">
      <c r="AA44" s="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75"/>
    </row>
    <row r="45" spans="27:44" ht="13.8" hidden="1" x14ac:dyDescent="0.25">
      <c r="AA45" s="74"/>
      <c r="AB45" s="24"/>
      <c r="AC45" s="76" t="s">
        <v>116</v>
      </c>
      <c r="AD45" s="76" t="str">
        <f t="array" ref="AD45:AG45">TRANSPOSE(team.list)</f>
        <v>لهستان</v>
      </c>
      <c r="AE45" s="76" t="str">
        <v>سنگال</v>
      </c>
      <c r="AF45" s="76" t="str">
        <v>کلمبیا</v>
      </c>
      <c r="AG45" s="76" t="str">
        <v>ژاپن</v>
      </c>
      <c r="AH45" s="24"/>
      <c r="AI45" s="105">
        <f xml:space="preserve"> SIGN(SUM(played)=12)</f>
        <v>0</v>
      </c>
      <c r="AJ45" s="76" t="s">
        <v>120</v>
      </c>
      <c r="AK45" s="76" t="s">
        <v>121</v>
      </c>
      <c r="AL45" s="24"/>
      <c r="AM45" s="24"/>
      <c r="AN45" s="24"/>
      <c r="AO45" s="24"/>
      <c r="AP45" s="24"/>
      <c r="AQ45" s="24"/>
      <c r="AR45" s="75"/>
    </row>
    <row r="46" spans="27:44" ht="13.8" hidden="1" x14ac:dyDescent="0.25">
      <c r="AA46" s="74"/>
      <c r="AB46" s="24"/>
      <c r="AC46" s="76" t="str">
        <f t="array" ref="AC46:AC49">team.list</f>
        <v>لهستان</v>
      </c>
      <c r="AD46" s="76" t="e">
        <f t="array" ref="AD46:AG49">IF( diagonal?, NA(), INDEX( team.goalsScored, MATCH({1;2;3;4}&amp;{1,2,3,4},cell.location,0) ) )</f>
        <v>#N/A</v>
      </c>
      <c r="AE46" s="76" t="e">
        <v>#N/A</v>
      </c>
      <c r="AF46" s="76" t="e">
        <v>#N/A</v>
      </c>
      <c r="AG46" s="76" t="e">
        <v>#N/A</v>
      </c>
      <c r="AH46" s="24"/>
      <c r="AI46" s="76" t="str">
        <f t="array" ref="AI46:AI49">team.list</f>
        <v>لهستان</v>
      </c>
      <c r="AJ46" s="76">
        <f t="array" ref="AJ46:AJ49" xml:space="preserve"> RANK(points, points)</f>
        <v>1</v>
      </c>
      <c r="AK46" s="76">
        <f t="array" ref="AK46:AK49" xml:space="preserve"> MATCH({1;2;3;4},RANK(points, points),0)</f>
        <v>1</v>
      </c>
      <c r="AL46" s="24"/>
      <c r="AM46" s="24"/>
      <c r="AN46" s="24"/>
      <c r="AO46" s="24"/>
      <c r="AP46" s="24"/>
      <c r="AQ46" s="24"/>
      <c r="AR46" s="75"/>
    </row>
    <row r="47" spans="27:44" ht="13.8" hidden="1" x14ac:dyDescent="0.25">
      <c r="AA47" s="74"/>
      <c r="AB47" s="24"/>
      <c r="AC47" s="76" t="str">
        <v>سنگال</v>
      </c>
      <c r="AD47" s="76" t="e">
        <v>#N/A</v>
      </c>
      <c r="AE47" s="76" t="e">
        <v>#N/A</v>
      </c>
      <c r="AF47" s="76" t="e">
        <v>#N/A</v>
      </c>
      <c r="AG47" s="76" t="e">
        <v>#N/A</v>
      </c>
      <c r="AH47" s="24"/>
      <c r="AI47" s="76" t="str">
        <v>سنگال</v>
      </c>
      <c r="AJ47" s="76">
        <v>2</v>
      </c>
      <c r="AK47" s="76">
        <v>2</v>
      </c>
      <c r="AL47" s="24"/>
      <c r="AM47" s="24"/>
      <c r="AN47" s="24"/>
      <c r="AO47" s="24"/>
      <c r="AP47" s="24"/>
      <c r="AQ47" s="24"/>
      <c r="AR47" s="75"/>
    </row>
    <row r="48" spans="27:44" ht="13.8" hidden="1" x14ac:dyDescent="0.25">
      <c r="AA48" s="74"/>
      <c r="AB48" s="24"/>
      <c r="AC48" s="76" t="str">
        <v>کلمبیا</v>
      </c>
      <c r="AD48" s="76" t="e">
        <v>#N/A</v>
      </c>
      <c r="AE48" s="76" t="e">
        <v>#N/A</v>
      </c>
      <c r="AF48" s="76" t="e">
        <v>#N/A</v>
      </c>
      <c r="AG48" s="76" t="e">
        <v>#N/A</v>
      </c>
      <c r="AH48" s="24"/>
      <c r="AI48" s="76" t="str">
        <v>کلمبیا</v>
      </c>
      <c r="AJ48" s="76">
        <v>3</v>
      </c>
      <c r="AK48" s="76">
        <v>3</v>
      </c>
      <c r="AL48" s="24"/>
      <c r="AM48" s="24"/>
      <c r="AN48" s="24"/>
      <c r="AO48" s="24"/>
      <c r="AP48" s="24"/>
      <c r="AQ48" s="24"/>
      <c r="AR48" s="75"/>
    </row>
    <row r="49" spans="27:44" ht="13.8" hidden="1" x14ac:dyDescent="0.25">
      <c r="AA49" s="74"/>
      <c r="AB49" s="24"/>
      <c r="AC49" s="76" t="str">
        <v>ژاپن</v>
      </c>
      <c r="AD49" s="76" t="e">
        <v>#N/A</v>
      </c>
      <c r="AE49" s="76" t="e">
        <v>#N/A</v>
      </c>
      <c r="AF49" s="76" t="e">
        <v>#N/A</v>
      </c>
      <c r="AG49" s="76" t="e">
        <v>#N/A</v>
      </c>
      <c r="AH49" s="24"/>
      <c r="AI49" s="76" t="str">
        <v>ژاپن</v>
      </c>
      <c r="AJ49" s="76">
        <v>4</v>
      </c>
      <c r="AK49" s="76">
        <v>4</v>
      </c>
      <c r="AL49" s="24"/>
      <c r="AM49" s="24"/>
      <c r="AN49" s="24"/>
      <c r="AO49" s="24"/>
      <c r="AP49" s="24"/>
      <c r="AQ49" s="24"/>
      <c r="AR49" s="75"/>
    </row>
    <row r="50" spans="27:44" ht="13.8" hidden="1" x14ac:dyDescent="0.25">
      <c r="AA50" s="74"/>
      <c r="AB50" s="24"/>
      <c r="AC50" s="24"/>
      <c r="AD50" s="106" t="s">
        <v>435</v>
      </c>
      <c r="AE50" s="24"/>
      <c r="AF50" s="24"/>
      <c r="AG50" s="24"/>
      <c r="AH50" s="24"/>
      <c r="AI50" s="77"/>
      <c r="AJ50" s="24"/>
      <c r="AK50" s="106" t="s">
        <v>439</v>
      </c>
      <c r="AL50" s="24"/>
      <c r="AM50" s="24"/>
      <c r="AN50" s="24"/>
      <c r="AO50" s="24"/>
      <c r="AP50" s="24"/>
      <c r="AQ50" s="24"/>
      <c r="AR50" s="75"/>
    </row>
    <row r="51" spans="27:44" ht="13.8" hidden="1" x14ac:dyDescent="0.25">
      <c r="AA51" s="74"/>
      <c r="AB51" s="24"/>
      <c r="AC51" s="76" t="s">
        <v>108</v>
      </c>
      <c r="AD51" s="76" t="str">
        <f t="array" ref="AD51:AG51">TRANSPOSE(AC52:AC55)</f>
        <v>لهستان</v>
      </c>
      <c r="AE51" s="76" t="str">
        <v>سنگال</v>
      </c>
      <c r="AF51" s="76" t="str">
        <v>کلمبیا</v>
      </c>
      <c r="AG51" s="76" t="str">
        <v>ژاپن</v>
      </c>
      <c r="AH51" s="24"/>
      <c r="AI51" s="76" t="s">
        <v>445</v>
      </c>
      <c r="AJ51" s="76" t="s">
        <v>117</v>
      </c>
      <c r="AK51" s="76" t="s">
        <v>430</v>
      </c>
      <c r="AL51" s="76"/>
      <c r="AM51" s="24"/>
      <c r="AN51" s="24"/>
      <c r="AO51" s="24"/>
      <c r="AP51" s="24"/>
      <c r="AQ51" s="24"/>
      <c r="AR51" s="75"/>
    </row>
    <row r="52" spans="27:44" ht="13.8" hidden="1" x14ac:dyDescent="0.25">
      <c r="AA52" s="74"/>
      <c r="AB52" s="24"/>
      <c r="AC52" s="76" t="str">
        <f t="array" ref="AC52:AC55">team.list</f>
        <v>لهستان</v>
      </c>
      <c r="AD52" s="76">
        <f t="array" ref="AD52:AG55" xml:space="preserve"> 1 - (ISNA(data.array))</f>
        <v>0</v>
      </c>
      <c r="AE52" s="76">
        <v>0</v>
      </c>
      <c r="AF52" s="76">
        <v>0</v>
      </c>
      <c r="AG52" s="76">
        <v>0</v>
      </c>
      <c r="AH52" s="24"/>
      <c r="AI52" s="76" t="str">
        <f t="array" ref="AI52:AI55" xml:space="preserve"> INDEX( team.list,order )</f>
        <v>لهستان</v>
      </c>
      <c r="AJ52" s="76">
        <f t="array" ref="AJ52:AJ55">ROUND(INDEX(standings,$AK$46:$AK$49,8),0)</f>
        <v>0</v>
      </c>
      <c r="AK52" s="76">
        <f t="array" ref="AK52:AK55" xml:space="preserve"> INDEX(team.index, order, 0)</f>
        <v>29</v>
      </c>
      <c r="AL52" s="116">
        <f t="array" ref="AL52:AL55" xml:space="preserve"> INDEX(team.index.alpha, order, 0)</f>
        <v>21</v>
      </c>
      <c r="AM52" s="23"/>
      <c r="AN52" s="24"/>
      <c r="AO52" s="24"/>
      <c r="AP52" s="24"/>
      <c r="AQ52" s="24"/>
      <c r="AR52" s="75"/>
    </row>
    <row r="53" spans="27:44" ht="13.8" hidden="1" x14ac:dyDescent="0.25">
      <c r="AA53" s="74"/>
      <c r="AB53" s="24"/>
      <c r="AC53" s="76" t="str">
        <v>سنگال</v>
      </c>
      <c r="AD53" s="76">
        <v>0</v>
      </c>
      <c r="AE53" s="76">
        <v>0</v>
      </c>
      <c r="AF53" s="76">
        <v>0</v>
      </c>
      <c r="AG53" s="76">
        <v>0</v>
      </c>
      <c r="AH53" s="24"/>
      <c r="AI53" s="76" t="str">
        <v>سنگال</v>
      </c>
      <c r="AJ53" s="76">
        <v>0</v>
      </c>
      <c r="AK53" s="76">
        <v>30</v>
      </c>
      <c r="AL53" s="116">
        <v>25</v>
      </c>
      <c r="AM53" s="24"/>
      <c r="AN53" s="24"/>
      <c r="AO53" s="24"/>
      <c r="AP53" s="24"/>
      <c r="AQ53" s="24"/>
      <c r="AR53" s="75"/>
    </row>
    <row r="54" spans="27:44" ht="13.8" hidden="1" x14ac:dyDescent="0.25">
      <c r="AA54" s="74"/>
      <c r="AB54" s="24"/>
      <c r="AC54" s="76" t="str">
        <v>کلمبیا</v>
      </c>
      <c r="AD54" s="76">
        <v>0</v>
      </c>
      <c r="AE54" s="76">
        <v>0</v>
      </c>
      <c r="AF54" s="76">
        <v>0</v>
      </c>
      <c r="AG54" s="76">
        <v>0</v>
      </c>
      <c r="AH54" s="24"/>
      <c r="AI54" s="76" t="str">
        <v>کلمبیا</v>
      </c>
      <c r="AJ54" s="76">
        <v>0</v>
      </c>
      <c r="AK54" s="76">
        <v>31</v>
      </c>
      <c r="AL54" s="116">
        <v>5</v>
      </c>
      <c r="AM54" s="24"/>
      <c r="AN54" s="24"/>
      <c r="AO54" s="24"/>
      <c r="AP54" s="24"/>
      <c r="AQ54" s="24"/>
      <c r="AR54" s="75"/>
    </row>
    <row r="55" spans="27:44" ht="13.8" hidden="1" x14ac:dyDescent="0.25">
      <c r="AA55" s="74"/>
      <c r="AB55" s="24"/>
      <c r="AC55" s="76" t="str">
        <v>ژاپن</v>
      </c>
      <c r="AD55" s="76">
        <v>0</v>
      </c>
      <c r="AE55" s="76">
        <v>0</v>
      </c>
      <c r="AF55" s="76">
        <v>0</v>
      </c>
      <c r="AG55" s="76">
        <v>0</v>
      </c>
      <c r="AH55" s="24"/>
      <c r="AI55" s="76" t="str">
        <v>ژاپن</v>
      </c>
      <c r="AJ55" s="76">
        <v>0</v>
      </c>
      <c r="AK55" s="76">
        <v>32</v>
      </c>
      <c r="AL55" s="116">
        <v>15</v>
      </c>
      <c r="AM55" s="24"/>
      <c r="AN55" s="24"/>
      <c r="AO55" s="24"/>
      <c r="AP55" s="24"/>
      <c r="AQ55" s="24"/>
      <c r="AR55" s="75"/>
    </row>
    <row r="56" spans="27:44" ht="13.8" hidden="1" x14ac:dyDescent="0.25">
      <c r="AA56" s="74"/>
      <c r="AB56" s="24"/>
      <c r="AC56" s="24"/>
      <c r="AD56" s="106" t="s">
        <v>436</v>
      </c>
      <c r="AE56" s="24"/>
      <c r="AF56" s="24"/>
      <c r="AG56" s="24"/>
      <c r="AH56" s="24"/>
      <c r="AI56" s="106" t="s">
        <v>444</v>
      </c>
      <c r="AJ56" s="23"/>
      <c r="AK56" s="23"/>
      <c r="AL56" s="23"/>
      <c r="AM56" s="24"/>
      <c r="AN56" s="24"/>
      <c r="AO56" s="24"/>
      <c r="AP56" s="24"/>
      <c r="AQ56" s="24"/>
      <c r="AR56" s="75"/>
    </row>
    <row r="57" spans="27:44" ht="13.8" hidden="1" x14ac:dyDescent="0.25">
      <c r="AA57" s="74"/>
      <c r="AB57" s="24"/>
      <c r="AC57" s="76" t="s">
        <v>114</v>
      </c>
      <c r="AD57" s="76" t="str">
        <f t="array" ref="AD57:AG57">TRANSPOSE(AC58:AC61)</f>
        <v>لهستان</v>
      </c>
      <c r="AE57" s="76" t="str">
        <v>سنگال</v>
      </c>
      <c r="AF57" s="76" t="str">
        <v>کلمبیا</v>
      </c>
      <c r="AG57" s="76" t="str">
        <v>ژاپن</v>
      </c>
      <c r="AH57" s="24"/>
      <c r="AI57" s="23"/>
      <c r="AJ57" s="23"/>
      <c r="AK57" s="23"/>
      <c r="AL57" s="23"/>
      <c r="AM57" s="24"/>
      <c r="AN57" s="24"/>
      <c r="AO57" s="24"/>
      <c r="AP57" s="24"/>
      <c r="AQ57" s="24"/>
      <c r="AR57" s="75"/>
    </row>
    <row r="58" spans="27:44" ht="13.8" hidden="1" x14ac:dyDescent="0.25">
      <c r="AA58" s="74"/>
      <c r="AB58" s="24"/>
      <c r="AC58" s="76" t="str">
        <f t="array" ref="AC58:AC61">team.list</f>
        <v>لهستان</v>
      </c>
      <c r="AD58" s="76">
        <f t="array" ref="AD58:AG61" xml:space="preserve"> IF( played.array, data.array, 0 )</f>
        <v>0</v>
      </c>
      <c r="AE58" s="76">
        <v>0</v>
      </c>
      <c r="AF58" s="76">
        <v>0</v>
      </c>
      <c r="AG58" s="76">
        <v>0</v>
      </c>
      <c r="AH58" s="24"/>
      <c r="AI58" s="23"/>
      <c r="AJ58" s="23"/>
      <c r="AK58" s="23"/>
      <c r="AL58" s="23"/>
      <c r="AM58" s="24"/>
      <c r="AN58" s="24"/>
      <c r="AO58" s="24"/>
      <c r="AP58" s="24"/>
      <c r="AQ58" s="24"/>
      <c r="AR58" s="75"/>
    </row>
    <row r="59" spans="27:44" ht="13.8" hidden="1" x14ac:dyDescent="0.25">
      <c r="AA59" s="74"/>
      <c r="AB59" s="24"/>
      <c r="AC59" s="76" t="str">
        <v>سنگال</v>
      </c>
      <c r="AD59" s="76">
        <v>0</v>
      </c>
      <c r="AE59" s="76">
        <v>0</v>
      </c>
      <c r="AF59" s="76">
        <v>0</v>
      </c>
      <c r="AG59" s="76">
        <v>0</v>
      </c>
      <c r="AH59" s="24"/>
      <c r="AI59" s="23"/>
      <c r="AJ59" s="23"/>
      <c r="AK59" s="23"/>
      <c r="AL59" s="23"/>
      <c r="AM59" s="24"/>
      <c r="AN59" s="24"/>
      <c r="AO59" s="24"/>
      <c r="AP59" s="24"/>
      <c r="AQ59" s="24"/>
      <c r="AR59" s="75"/>
    </row>
    <row r="60" spans="27:44" ht="13.8" hidden="1" x14ac:dyDescent="0.25">
      <c r="AA60" s="74"/>
      <c r="AB60" s="24"/>
      <c r="AC60" s="76" t="str">
        <v>کلمبیا</v>
      </c>
      <c r="AD60" s="76">
        <v>0</v>
      </c>
      <c r="AE60" s="76">
        <v>0</v>
      </c>
      <c r="AF60" s="76">
        <v>0</v>
      </c>
      <c r="AG60" s="76">
        <v>0</v>
      </c>
      <c r="AH60" s="24"/>
      <c r="AI60" s="23"/>
      <c r="AJ60" s="23"/>
      <c r="AK60" s="23"/>
      <c r="AL60" s="23"/>
      <c r="AM60" s="24"/>
      <c r="AN60" s="24"/>
      <c r="AO60" s="24"/>
      <c r="AP60" s="24"/>
      <c r="AQ60" s="24"/>
      <c r="AR60" s="75"/>
    </row>
    <row r="61" spans="27:44" ht="13.8" hidden="1" x14ac:dyDescent="0.25">
      <c r="AA61" s="74"/>
      <c r="AB61" s="24"/>
      <c r="AC61" s="76" t="str">
        <v>ژاپن</v>
      </c>
      <c r="AD61" s="76">
        <v>0</v>
      </c>
      <c r="AE61" s="76">
        <v>0</v>
      </c>
      <c r="AF61" s="76">
        <v>0</v>
      </c>
      <c r="AG61" s="76">
        <v>0</v>
      </c>
      <c r="AH61" s="24"/>
      <c r="AI61" s="23"/>
      <c r="AJ61" s="23"/>
      <c r="AK61" s="23"/>
      <c r="AL61" s="23"/>
      <c r="AM61" s="24"/>
      <c r="AN61" s="24"/>
      <c r="AO61" s="24"/>
      <c r="AP61" s="24"/>
      <c r="AQ61" s="24"/>
      <c r="AR61" s="75"/>
    </row>
    <row r="62" spans="27:44" ht="13.8" hidden="1" x14ac:dyDescent="0.25">
      <c r="AA62" s="74"/>
      <c r="AB62" s="24"/>
      <c r="AC62" s="24"/>
      <c r="AD62" s="106" t="s">
        <v>437</v>
      </c>
      <c r="AE62" s="24"/>
      <c r="AF62" s="24"/>
      <c r="AG62" s="24"/>
      <c r="AH62" s="24"/>
      <c r="AI62" s="23"/>
      <c r="AJ62" s="23"/>
      <c r="AK62" s="23"/>
      <c r="AL62" s="23"/>
      <c r="AM62" s="106"/>
      <c r="AN62" s="24"/>
      <c r="AO62" s="24"/>
      <c r="AP62" s="24"/>
      <c r="AQ62" s="24"/>
      <c r="AR62" s="75"/>
    </row>
    <row r="63" spans="27:44" ht="13.8" hidden="1" x14ac:dyDescent="0.25">
      <c r="AA63" s="74"/>
      <c r="AB63" s="24"/>
      <c r="AC63" s="76" t="s">
        <v>115</v>
      </c>
      <c r="AD63" s="76" t="str">
        <f t="array" ref="AD63:AG63">TRANSPOSE(AC64:AC67)</f>
        <v>لهستان</v>
      </c>
      <c r="AE63" s="76" t="str">
        <v>سنگال</v>
      </c>
      <c r="AF63" s="76" t="str">
        <v>کلمبیا</v>
      </c>
      <c r="AG63" s="76" t="str">
        <v>ژاپن</v>
      </c>
      <c r="AH63" s="24"/>
      <c r="AI63" s="24"/>
      <c r="AJ63" s="23"/>
      <c r="AK63" s="24"/>
      <c r="AL63" s="24"/>
      <c r="AM63" s="24"/>
      <c r="AN63" s="24"/>
      <c r="AO63" s="24"/>
      <c r="AP63" s="24"/>
      <c r="AQ63" s="24"/>
      <c r="AR63" s="75"/>
    </row>
    <row r="64" spans="27:44" ht="13.8" hidden="1" x14ac:dyDescent="0.25">
      <c r="AA64" s="74"/>
      <c r="AB64" s="24"/>
      <c r="AC64" s="76" t="str">
        <f t="array" ref="AC64:AC67">team.list</f>
        <v>لهستان</v>
      </c>
      <c r="AD64" s="76">
        <f t="array" ref="AD64:AG67" xml:space="preserve"> SIGN(score.array - TRANSPOSE(score.array))</f>
        <v>0</v>
      </c>
      <c r="AE64" s="76">
        <v>0</v>
      </c>
      <c r="AF64" s="76">
        <v>0</v>
      </c>
      <c r="AG64" s="76">
        <v>0</v>
      </c>
      <c r="AH64" s="24"/>
      <c r="AI64" s="24"/>
      <c r="AJ64" s="23"/>
      <c r="AK64" s="24"/>
      <c r="AL64" s="24"/>
      <c r="AM64" s="24"/>
      <c r="AN64" s="24"/>
      <c r="AO64" s="24"/>
      <c r="AP64" s="24"/>
      <c r="AQ64" s="24"/>
      <c r="AR64" s="75"/>
    </row>
    <row r="65" spans="2:44" ht="13.8" hidden="1" x14ac:dyDescent="0.25">
      <c r="AA65" s="74"/>
      <c r="AB65" s="24"/>
      <c r="AC65" s="76" t="str">
        <v>سنگال</v>
      </c>
      <c r="AD65" s="76">
        <v>0</v>
      </c>
      <c r="AE65" s="76">
        <v>0</v>
      </c>
      <c r="AF65" s="76">
        <v>0</v>
      </c>
      <c r="AG65" s="76">
        <v>0</v>
      </c>
      <c r="AH65" s="24"/>
      <c r="AI65" s="24"/>
      <c r="AJ65" s="23"/>
      <c r="AK65" s="24"/>
      <c r="AL65" s="24"/>
      <c r="AM65" s="24"/>
      <c r="AN65" s="24"/>
      <c r="AO65" s="24"/>
      <c r="AP65" s="24"/>
      <c r="AQ65" s="24"/>
      <c r="AR65" s="75"/>
    </row>
    <row r="66" spans="2:44" ht="13.8" hidden="1" x14ac:dyDescent="0.25">
      <c r="AA66" s="74"/>
      <c r="AB66" s="24"/>
      <c r="AC66" s="76" t="str">
        <v>کلمبیا</v>
      </c>
      <c r="AD66" s="76">
        <v>0</v>
      </c>
      <c r="AE66" s="76">
        <v>0</v>
      </c>
      <c r="AF66" s="76">
        <v>0</v>
      </c>
      <c r="AG66" s="76">
        <v>0</v>
      </c>
      <c r="AH66" s="24"/>
      <c r="AI66" s="24"/>
      <c r="AJ66" s="23"/>
      <c r="AK66" s="24"/>
      <c r="AL66" s="24"/>
      <c r="AM66" s="24"/>
      <c r="AN66" s="24"/>
      <c r="AO66" s="24"/>
      <c r="AP66" s="24"/>
      <c r="AQ66" s="24"/>
      <c r="AR66" s="75"/>
    </row>
    <row r="67" spans="2:44" ht="13.8" hidden="1" x14ac:dyDescent="0.25">
      <c r="AA67" s="74"/>
      <c r="AB67" s="24"/>
      <c r="AC67" s="76" t="str">
        <v>ژاپن</v>
      </c>
      <c r="AD67" s="76">
        <v>0</v>
      </c>
      <c r="AE67" s="76">
        <v>0</v>
      </c>
      <c r="AF67" s="76">
        <v>0</v>
      </c>
      <c r="AG67" s="76">
        <v>0</v>
      </c>
      <c r="AH67" s="24"/>
      <c r="AI67" s="24"/>
      <c r="AJ67" s="23"/>
      <c r="AK67" s="24"/>
      <c r="AL67" s="24"/>
      <c r="AM67" s="24"/>
      <c r="AN67" s="24"/>
      <c r="AO67" s="24"/>
      <c r="AP67" s="24"/>
      <c r="AQ67" s="24"/>
      <c r="AR67" s="75"/>
    </row>
    <row r="68" spans="2:44" ht="13.8" hidden="1" x14ac:dyDescent="0.25">
      <c r="AA68" s="74"/>
      <c r="AB68" s="24"/>
      <c r="AC68" s="24"/>
      <c r="AD68" s="106" t="s">
        <v>438</v>
      </c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75"/>
    </row>
    <row r="69" spans="2:44" ht="13.8" hidden="1" x14ac:dyDescent="0.25">
      <c r="AA69" s="95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96"/>
    </row>
    <row r="70" spans="2:44" ht="13.8" hidden="1" x14ac:dyDescent="0.25"/>
    <row r="71" spans="2:44" s="12" customFormat="1" ht="13.8" hidden="1" x14ac:dyDescent="0.25">
      <c r="B71" s="70"/>
      <c r="C71" s="70"/>
    </row>
    <row r="72" spans="2:44" s="12" customFormat="1" ht="13.8" hidden="1" x14ac:dyDescent="0.25">
      <c r="B72" s="70"/>
      <c r="C72" s="70"/>
    </row>
    <row r="73" spans="2:44" s="12" customFormat="1" ht="13.8" hidden="1" x14ac:dyDescent="0.25">
      <c r="B73" s="70"/>
      <c r="C73" s="70"/>
    </row>
    <row r="74" spans="2:44" s="12" customFormat="1" ht="13.8" hidden="1" x14ac:dyDescent="0.25">
      <c r="B74" s="70"/>
      <c r="C74" s="70"/>
    </row>
    <row r="75" spans="2:44" s="12" customFormat="1" ht="13.8" hidden="1" x14ac:dyDescent="0.25">
      <c r="B75" s="70"/>
      <c r="C75" s="70"/>
    </row>
    <row r="76" spans="2:44" s="12" customFormat="1" ht="13.8" hidden="1" x14ac:dyDescent="0.25">
      <c r="B76" s="70"/>
      <c r="C76" s="70"/>
    </row>
    <row r="77" spans="2:44" s="12" customFormat="1" ht="13.8" hidden="1" x14ac:dyDescent="0.25">
      <c r="B77" s="70"/>
      <c r="C77" s="70"/>
    </row>
    <row r="78" spans="2:44" s="12" customFormat="1" ht="13.8" hidden="1" x14ac:dyDescent="0.25">
      <c r="B78" s="70"/>
      <c r="C78" s="70"/>
    </row>
    <row r="79" spans="2:44" s="12" customFormat="1" ht="13.8" hidden="1" x14ac:dyDescent="0.25">
      <c r="B79" s="70"/>
      <c r="C79" s="70"/>
    </row>
  </sheetData>
  <sheetProtection sheet="1" objects="1" scenarios="1" selectLockedCells="1"/>
  <dataValidations count="1">
    <dataValidation type="decimal" allowBlank="1" showInputMessage="1" showErrorMessage="1" errorTitle="Score (0-20)" error="Please enter a score value between 0-20" promptTitle="Score (0-20)" sqref="G7 G9 G11 G13 G15 G17 I17 I15 I13 I11 I9 I7">
      <formula1>0</formula1>
      <formula2>20</formula2>
    </dataValidation>
  </dataValidations>
  <pageMargins left="0.31496062992126" right="0.31496062992126" top="0.74803149606299202" bottom="0.74803149606299202" header="0.31496062992126" footer="0.31496062992126"/>
  <pageSetup paperSize="9" scale="94" orientation="landscape" cellComments="atEnd" r:id="rId1"/>
  <drawing r:id="rId2"/>
  <legacyDrawing r:id="rId3"/>
  <picture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262</vt:i4>
      </vt:variant>
    </vt:vector>
  </HeadingPairs>
  <TitlesOfParts>
    <vt:vector size="272" baseType="lpstr">
      <vt:lpstr>Splash</vt:lpstr>
      <vt:lpstr>Group A</vt:lpstr>
      <vt:lpstr>Group B</vt:lpstr>
      <vt:lpstr>Group C</vt:lpstr>
      <vt:lpstr>Group D</vt:lpstr>
      <vt:lpstr>Group E</vt:lpstr>
      <vt:lpstr>Group F</vt:lpstr>
      <vt:lpstr>Group G</vt:lpstr>
      <vt:lpstr>Group H</vt:lpstr>
      <vt:lpstr>Knock-Out</vt:lpstr>
      <vt:lpstr>'Knock-Out'!→</vt:lpstr>
      <vt:lpstr>¶</vt:lpstr>
      <vt:lpstr>activeGoupA</vt:lpstr>
      <vt:lpstr>activeGroupB</vt:lpstr>
      <vt:lpstr>activeGroups</vt:lpstr>
      <vt:lpstr>'Group A'!cell.location</vt:lpstr>
      <vt:lpstr>'Group B'!cell.location</vt:lpstr>
      <vt:lpstr>'Group C'!cell.location</vt:lpstr>
      <vt:lpstr>'Group D'!cell.location</vt:lpstr>
      <vt:lpstr>'Group E'!cell.location</vt:lpstr>
      <vt:lpstr>'Group F'!cell.location</vt:lpstr>
      <vt:lpstr>'Group G'!cell.location</vt:lpstr>
      <vt:lpstr>'Group H'!cell.location</vt:lpstr>
      <vt:lpstr>'Group A'!complete?</vt:lpstr>
      <vt:lpstr>'Group B'!complete?</vt:lpstr>
      <vt:lpstr>'Group C'!complete?</vt:lpstr>
      <vt:lpstr>'Group D'!complete?</vt:lpstr>
      <vt:lpstr>'Group E'!complete?</vt:lpstr>
      <vt:lpstr>'Group F'!complete?</vt:lpstr>
      <vt:lpstr>'Group G'!complete?</vt:lpstr>
      <vt:lpstr>'Group H'!complete?</vt:lpstr>
      <vt:lpstr>Countries</vt:lpstr>
      <vt:lpstr>'Group A'!country</vt:lpstr>
      <vt:lpstr>'Group B'!country</vt:lpstr>
      <vt:lpstr>'Group C'!country</vt:lpstr>
      <vt:lpstr>'Group D'!country</vt:lpstr>
      <vt:lpstr>'Group E'!country</vt:lpstr>
      <vt:lpstr>'Group F'!country</vt:lpstr>
      <vt:lpstr>'Group G'!country</vt:lpstr>
      <vt:lpstr>'Group H'!country</vt:lpstr>
      <vt:lpstr>'Knock-Out'!country</vt:lpstr>
      <vt:lpstr>country.list</vt:lpstr>
      <vt:lpstr>country.name</vt:lpstr>
      <vt:lpstr>CountryName.Loc</vt:lpstr>
      <vt:lpstr>'Group A'!data.array</vt:lpstr>
      <vt:lpstr>'Group B'!data.array</vt:lpstr>
      <vt:lpstr>'Group C'!data.array</vt:lpstr>
      <vt:lpstr>'Group D'!data.array</vt:lpstr>
      <vt:lpstr>'Group E'!data.array</vt:lpstr>
      <vt:lpstr>'Group F'!data.array</vt:lpstr>
      <vt:lpstr>'Group G'!data.array</vt:lpstr>
      <vt:lpstr>'Group H'!data.array</vt:lpstr>
      <vt:lpstr>date.format</vt:lpstr>
      <vt:lpstr>flags</vt:lpstr>
      <vt:lpstr>'Group A'!Group.Index</vt:lpstr>
      <vt:lpstr>'Group B'!Group.Index</vt:lpstr>
      <vt:lpstr>'Group C'!Group.Index</vt:lpstr>
      <vt:lpstr>'Group D'!Group.Index</vt:lpstr>
      <vt:lpstr>'Group E'!Group.Index</vt:lpstr>
      <vt:lpstr>'Group F'!Group.Index</vt:lpstr>
      <vt:lpstr>'Group G'!Group.Index</vt:lpstr>
      <vt:lpstr>'Group H'!Group.Index</vt:lpstr>
      <vt:lpstr>'Group A'!group.teams</vt:lpstr>
      <vt:lpstr>'Group B'!group.teams</vt:lpstr>
      <vt:lpstr>'Group C'!group.teams</vt:lpstr>
      <vt:lpstr>'Group D'!group.teams</vt:lpstr>
      <vt:lpstr>'Group E'!group.teams</vt:lpstr>
      <vt:lpstr>'Group F'!group.teams</vt:lpstr>
      <vt:lpstr>'Group G'!group.teams</vt:lpstr>
      <vt:lpstr>'Group H'!group.teams</vt:lpstr>
      <vt:lpstr>GroupA.concat</vt:lpstr>
      <vt:lpstr>GroupA.link</vt:lpstr>
      <vt:lpstr>GroupB.concat</vt:lpstr>
      <vt:lpstr>GroupB.link</vt:lpstr>
      <vt:lpstr>GroupC.concat</vt:lpstr>
      <vt:lpstr>GroupC.link</vt:lpstr>
      <vt:lpstr>GroupD.concat</vt:lpstr>
      <vt:lpstr>GroupD.link</vt:lpstr>
      <vt:lpstr>GroupE.concat</vt:lpstr>
      <vt:lpstr>GroupE.link</vt:lpstr>
      <vt:lpstr>GroupF.concat</vt:lpstr>
      <vt:lpstr>GroupF.link</vt:lpstr>
      <vt:lpstr>GroupG.concat</vt:lpstr>
      <vt:lpstr>GroupG.link</vt:lpstr>
      <vt:lpstr>GroupH.concat</vt:lpstr>
      <vt:lpstr>GroupH.link</vt:lpstr>
      <vt:lpstr>GroupMatchTeam1</vt:lpstr>
      <vt:lpstr>GroupMatchTeam2</vt:lpstr>
      <vt:lpstr>Labels!Groups</vt:lpstr>
      <vt:lpstr>Groups.English</vt:lpstr>
      <vt:lpstr>Groups.TeamIndices</vt:lpstr>
      <vt:lpstr>Labels!grp</vt:lpstr>
      <vt:lpstr>Labels!idx</vt:lpstr>
      <vt:lpstr>'Group A'!index.order</vt:lpstr>
      <vt:lpstr>'Group B'!index.order</vt:lpstr>
      <vt:lpstr>'Group C'!index.order</vt:lpstr>
      <vt:lpstr>'Group D'!index.order</vt:lpstr>
      <vt:lpstr>'Group E'!index.order</vt:lpstr>
      <vt:lpstr>'Group F'!index.order</vt:lpstr>
      <vt:lpstr>'Group G'!index.order</vt:lpstr>
      <vt:lpstr>'Group H'!index.order</vt:lpstr>
      <vt:lpstr>iso</vt:lpstr>
      <vt:lpstr>Knockout.concat</vt:lpstr>
      <vt:lpstr>KnockOut.link</vt:lpstr>
      <vt:lpstr>'Knock-Out'!KO.FN.score1</vt:lpstr>
      <vt:lpstr>'Knock-Out'!KO.FN.score2</vt:lpstr>
      <vt:lpstr>'Knock-Out'!KO.FN.team1</vt:lpstr>
      <vt:lpstr>'Knock-Out'!KO.FN.team2</vt:lpstr>
      <vt:lpstr>'Knock-Out'!KO.FR.score1</vt:lpstr>
      <vt:lpstr>'Knock-Out'!KO.FR.score2</vt:lpstr>
      <vt:lpstr>'Knock-Out'!KO.FR.team1</vt:lpstr>
      <vt:lpstr>'Knock-Out'!KO.FR.team2</vt:lpstr>
      <vt:lpstr>'Knock-Out'!KO.LF.score1</vt:lpstr>
      <vt:lpstr>'Knock-Out'!KO.LF.score2</vt:lpstr>
      <vt:lpstr>'Knock-Out'!KO.LF.team1</vt:lpstr>
      <vt:lpstr>'Knock-Out'!KO.LF.team2</vt:lpstr>
      <vt:lpstr>'Knock-Out'!KO.QF.score1</vt:lpstr>
      <vt:lpstr>'Knock-Out'!KO.QF.score2</vt:lpstr>
      <vt:lpstr>'Knock-Out'!KO.QF.team1</vt:lpstr>
      <vt:lpstr>'Knock-Out'!KO.QF.team2</vt:lpstr>
      <vt:lpstr>'Knock-Out'!KO.SF.score1</vt:lpstr>
      <vt:lpstr>'Knock-Out'!KO.SF.score2</vt:lpstr>
      <vt:lpstr>'Knock-Out'!KO.SF.score3</vt:lpstr>
      <vt:lpstr>'Knock-Out'!KO.SF.score4</vt:lpstr>
      <vt:lpstr>'Knock-Out'!KO.SF.team1</vt:lpstr>
      <vt:lpstr>'Knock-Out'!KO.SF.team2</vt:lpstr>
      <vt:lpstr>'Knock-Out'!KO.SF.team3</vt:lpstr>
      <vt:lpstr>'Knock-Out'!KO.SF.team4</vt:lpstr>
      <vt:lpstr>language</vt:lpstr>
      <vt:lpstr>Labels!language.idx</vt:lpstr>
      <vt:lpstr>language.name</vt:lpstr>
      <vt:lpstr>'Group A'!match.result</vt:lpstr>
      <vt:lpstr>'Group B'!match.result</vt:lpstr>
      <vt:lpstr>'Group C'!match.result</vt:lpstr>
      <vt:lpstr>'Group D'!match.result</vt:lpstr>
      <vt:lpstr>'Group E'!match.result</vt:lpstr>
      <vt:lpstr>'Group F'!match.result</vt:lpstr>
      <vt:lpstr>'Group G'!match.result</vt:lpstr>
      <vt:lpstr>'Group H'!match.result</vt:lpstr>
      <vt:lpstr>'Group A'!Matches</vt:lpstr>
      <vt:lpstr>'Group B'!Matches</vt:lpstr>
      <vt:lpstr>'Group C'!Matches</vt:lpstr>
      <vt:lpstr>'Group D'!Matches</vt:lpstr>
      <vt:lpstr>'Group E'!Matches</vt:lpstr>
      <vt:lpstr>'Group F'!Matches</vt:lpstr>
      <vt:lpstr>'Group G'!Matches</vt:lpstr>
      <vt:lpstr>'Group H'!Matches</vt:lpstr>
      <vt:lpstr>Null</vt:lpstr>
      <vt:lpstr>'Group A'!order</vt:lpstr>
      <vt:lpstr>'Group B'!order</vt:lpstr>
      <vt:lpstr>'Group C'!order</vt:lpstr>
      <vt:lpstr>'Group D'!order</vt:lpstr>
      <vt:lpstr>'Group E'!order</vt:lpstr>
      <vt:lpstr>'Group F'!order</vt:lpstr>
      <vt:lpstr>'Group G'!order</vt:lpstr>
      <vt:lpstr>'Group H'!order</vt:lpstr>
      <vt:lpstr>otherGroups</vt:lpstr>
      <vt:lpstr>'Group A'!played.array</vt:lpstr>
      <vt:lpstr>'Group B'!played.array</vt:lpstr>
      <vt:lpstr>'Group C'!played.array</vt:lpstr>
      <vt:lpstr>'Group D'!played.array</vt:lpstr>
      <vt:lpstr>'Group E'!played.array</vt:lpstr>
      <vt:lpstr>'Group F'!played.array</vt:lpstr>
      <vt:lpstr>'Group G'!played.array</vt:lpstr>
      <vt:lpstr>'Group H'!played.array</vt:lpstr>
      <vt:lpstr>'Group A'!Print_Area</vt:lpstr>
      <vt:lpstr>'Group B'!Print_Area</vt:lpstr>
      <vt:lpstr>'Group C'!Print_Area</vt:lpstr>
      <vt:lpstr>'Group D'!Print_Area</vt:lpstr>
      <vt:lpstr>'Group E'!Print_Area</vt:lpstr>
      <vt:lpstr>'Group F'!Print_Area</vt:lpstr>
      <vt:lpstr>'Group G'!Print_Area</vt:lpstr>
      <vt:lpstr>'Group H'!Print_Area</vt:lpstr>
      <vt:lpstr>'Knock-Out'!Print_Area</vt:lpstr>
      <vt:lpstr>Splash!Print_Area</vt:lpstr>
      <vt:lpstr>'Knock-Out'!Round1.Team2</vt:lpstr>
      <vt:lpstr>'Group A'!RunnerUp</vt:lpstr>
      <vt:lpstr>'Group B'!RunnerUp</vt:lpstr>
      <vt:lpstr>'Group C'!RunnerUp</vt:lpstr>
      <vt:lpstr>'Group D'!RunnerUp</vt:lpstr>
      <vt:lpstr>'Group E'!RunnerUp</vt:lpstr>
      <vt:lpstr>'Group F'!RunnerUp</vt:lpstr>
      <vt:lpstr>'Group G'!RunnerUp</vt:lpstr>
      <vt:lpstr>'Group H'!RunnerUp</vt:lpstr>
      <vt:lpstr>'Group A'!score.array</vt:lpstr>
      <vt:lpstr>'Group B'!score.array</vt:lpstr>
      <vt:lpstr>'Group C'!score.array</vt:lpstr>
      <vt:lpstr>'Group D'!score.array</vt:lpstr>
      <vt:lpstr>'Group E'!score.array</vt:lpstr>
      <vt:lpstr>'Group F'!score.array</vt:lpstr>
      <vt:lpstr>'Group G'!score.array</vt:lpstr>
      <vt:lpstr>'Group H'!score.array</vt:lpstr>
      <vt:lpstr>'Group A'!standing1st</vt:lpstr>
      <vt:lpstr>'Group B'!standing1st</vt:lpstr>
      <vt:lpstr>'Group C'!standing1st</vt:lpstr>
      <vt:lpstr>'Group D'!standing1st</vt:lpstr>
      <vt:lpstr>'Group E'!standing1st</vt:lpstr>
      <vt:lpstr>'Group F'!standing1st</vt:lpstr>
      <vt:lpstr>'Group G'!standing1st</vt:lpstr>
      <vt:lpstr>'Group H'!standing1st</vt:lpstr>
      <vt:lpstr>'Group A'!standings</vt:lpstr>
      <vt:lpstr>'Group B'!standings</vt:lpstr>
      <vt:lpstr>'Group C'!standings</vt:lpstr>
      <vt:lpstr>'Group D'!standings</vt:lpstr>
      <vt:lpstr>'Group E'!standings</vt:lpstr>
      <vt:lpstr>'Group F'!standings</vt:lpstr>
      <vt:lpstr>'Group G'!standings</vt:lpstr>
      <vt:lpstr>'Group H'!standings</vt:lpstr>
      <vt:lpstr>'Group A'!team.goalsScored</vt:lpstr>
      <vt:lpstr>'Group B'!team.goalsScored</vt:lpstr>
      <vt:lpstr>'Group C'!team.goalsScored</vt:lpstr>
      <vt:lpstr>'Group D'!team.goalsScored</vt:lpstr>
      <vt:lpstr>'Group E'!team.goalsScored</vt:lpstr>
      <vt:lpstr>'Group F'!team.goalsScored</vt:lpstr>
      <vt:lpstr>'Group G'!team.goalsScored</vt:lpstr>
      <vt:lpstr>'Group H'!team.goalsScored</vt:lpstr>
      <vt:lpstr>'Group A'!team.index</vt:lpstr>
      <vt:lpstr>'Group B'!team.index</vt:lpstr>
      <vt:lpstr>'Group C'!team.index</vt:lpstr>
      <vt:lpstr>'Group D'!team.index</vt:lpstr>
      <vt:lpstr>'Group E'!team.index</vt:lpstr>
      <vt:lpstr>'Group F'!team.index</vt:lpstr>
      <vt:lpstr>'Group G'!team.index</vt:lpstr>
      <vt:lpstr>'Group H'!team.index</vt:lpstr>
      <vt:lpstr>'Group A'!team.index.alpha</vt:lpstr>
      <vt:lpstr>'Group B'!team.index.alpha</vt:lpstr>
      <vt:lpstr>'Group C'!team.index.alpha</vt:lpstr>
      <vt:lpstr>'Group D'!team.index.alpha</vt:lpstr>
      <vt:lpstr>'Group E'!team.index.alpha</vt:lpstr>
      <vt:lpstr>'Group F'!team.index.alpha</vt:lpstr>
      <vt:lpstr>'Group G'!team.index.alpha</vt:lpstr>
      <vt:lpstr>'Group H'!team.index.alpha</vt:lpstr>
      <vt:lpstr>'Group A'!team.list</vt:lpstr>
      <vt:lpstr>'Group B'!team.list</vt:lpstr>
      <vt:lpstr>'Group C'!team.list</vt:lpstr>
      <vt:lpstr>'Group D'!team.list</vt:lpstr>
      <vt:lpstr>'Group E'!team.list</vt:lpstr>
      <vt:lpstr>'Group F'!team.list</vt:lpstr>
      <vt:lpstr>'Group G'!team.list</vt:lpstr>
      <vt:lpstr>'Group H'!team.list</vt:lpstr>
      <vt:lpstr>'Group A'!team.matchOpponent</vt:lpstr>
      <vt:lpstr>'Group B'!team.matchOpponent</vt:lpstr>
      <vt:lpstr>'Group C'!team.matchOpponent</vt:lpstr>
      <vt:lpstr>'Group D'!team.matchOpponent</vt:lpstr>
      <vt:lpstr>'Group E'!team.matchOpponent</vt:lpstr>
      <vt:lpstr>'Group F'!team.matchOpponent</vt:lpstr>
      <vt:lpstr>'Group G'!team.matchOpponent</vt:lpstr>
      <vt:lpstr>'Group H'!team.matchOpponent</vt:lpstr>
      <vt:lpstr>'Group A'!team.matchResult</vt:lpstr>
      <vt:lpstr>'Group B'!team.matchResult</vt:lpstr>
      <vt:lpstr>'Group C'!team.matchResult</vt:lpstr>
      <vt:lpstr>'Group D'!team.matchResult</vt:lpstr>
      <vt:lpstr>'Group E'!team.matchResult</vt:lpstr>
      <vt:lpstr>'Group F'!team.matchResult</vt:lpstr>
      <vt:lpstr>'Group G'!team.matchResult</vt:lpstr>
      <vt:lpstr>'Group H'!team.matchResult</vt:lpstr>
      <vt:lpstr>'Group A'!team.order</vt:lpstr>
      <vt:lpstr>'Group B'!team.order</vt:lpstr>
      <vt:lpstr>'Group C'!team.order</vt:lpstr>
      <vt:lpstr>'Group D'!team.order</vt:lpstr>
      <vt:lpstr>'Group E'!team.order</vt:lpstr>
      <vt:lpstr>'Group F'!team.order</vt:lpstr>
      <vt:lpstr>'Group G'!team.order</vt:lpstr>
      <vt:lpstr>'Group H'!team.order</vt:lpstr>
      <vt:lpstr>'Group A'!Winner</vt:lpstr>
      <vt:lpstr>'Group B'!Winner</vt:lpstr>
      <vt:lpstr>'Group C'!Winner</vt:lpstr>
      <vt:lpstr>'Group D'!Winner</vt:lpstr>
      <vt:lpstr>'Group E'!Winner</vt:lpstr>
      <vt:lpstr>'Group F'!Winner</vt:lpstr>
      <vt:lpstr>'Group G'!Winner</vt:lpstr>
      <vt:lpstr>'Group H'!Winner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Ghasemiyan</dc:creator>
  <cp:lastModifiedBy>Amir Ghasemiyan</cp:lastModifiedBy>
  <cp:lastPrinted>2018-05-29T02:33:27Z</cp:lastPrinted>
  <dcterms:created xsi:type="dcterms:W3CDTF">2014-02-19T13:41:38Z</dcterms:created>
  <dcterms:modified xsi:type="dcterms:W3CDTF">2018-06-14T16:36:00Z</dcterms:modified>
</cp:coreProperties>
</file>